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7" sheetId="13" r:id="rId13"/>
    <sheet name="06"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'07'!$A$1:$T$71</definedName>
    <definedName name="_xlnm.Print_Area" localSheetId="1">'Mãu BC mien giam 8'!$A$1:$N$36</definedName>
    <definedName name="_xlnm.Print_Titles" localSheetId="13">'06'!$6:$10</definedName>
    <definedName name="_xlnm.Print_Titles" localSheetId="12">'07'!$6:$10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<sst xmlns="http://schemas.openxmlformats.org/spreadsheetml/2006/main" count="1096" uniqueCount="488">
  <si>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</si>
  <si>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</si>
  <si>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</si>
  <si>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</si>
  <si>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</si>
  <si>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</si>
  <si>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</si>
  <si>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</si>
  <si>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</si>
  <si>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</si>
  <si>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</si>
  <si>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</si>
  <si>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</si>
  <si>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</si>
  <si>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</si>
  <si>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</si>
  <si>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</si>
  <si>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</si>
  <si>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</si>
  <si>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</si>
  <si>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</si>
  <si>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</si>
  <si>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</si>
  <si>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</si>
  <si>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</si>
  <si>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</si>
  <si>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</si>
  <si>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</si>
  <si>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</si>
  <si>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</si>
  <si>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</si>
  <si>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</si>
  <si>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</si>
  <si>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</si>
  <si>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</si>
  <si>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</si>
  <si>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</si>
  <si>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</si>
  <si>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</si>
  <si>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</si>
  <si>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</si>
  <si>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</si>
  <si>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</si>
  <si>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</si>
  <si>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</si>
  <si>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</si>
  <si>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</si>
  <si>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</si>
  <si>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</si>
  <si>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</si>
  <si>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</si>
  <si>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</si>
  <si>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</si>
  <si>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</si>
  <si>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</si>
  <si>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</si>
  <si>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</si>
  <si>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</si>
  <si>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</si>
  <si>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</si>
  <si>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</si>
  <si>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</si>
  <si>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</si>
  <si>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</si>
  <si>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</si>
  <si>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</si>
  <si>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</si>
  <si>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</si>
  <si>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</si>
  <si>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</si>
  <si>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</si>
  <si>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</si>
  <si>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</si>
  <si>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</si>
  <si>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</si>
  <si>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</si>
  <si>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</si>
  <si>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</si>
  <si>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</si>
  <si>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</si>
  <si>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</si>
  <si>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</si>
  <si>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</si>
  <si>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</si>
  <si>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</si>
  <si>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</si>
  <si>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</si>
  <si>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</si>
  <si>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</si>
  <si>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</si>
  <si>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</si>
  <si>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</si>
  <si>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</si>
  <si>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</si>
  <si>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</si>
  <si>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</si>
  <si>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</si>
  <si>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</si>
  <si>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</si>
  <si>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</si>
  <si>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</si>
  <si>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</si>
  <si>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</si>
  <si>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</si>
  <si>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</si>
  <si>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</si>
  <si>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</si>
  <si>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</si>
  <si>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</si>
  <si>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</si>
  <si>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</si>
  <si>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</si>
  <si>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</si>
  <si>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</si>
  <si>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</si>
  <si>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</si>
  <si>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</si>
  <si>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</si>
  <si>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</si>
  <si>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</si>
  <si>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</si>
  <si>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</si>
  <si>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</si>
  <si>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</si>
  <si>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</si>
  <si>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</si>
  <si>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</si>
  <si>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</si>
  <si>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</si>
  <si>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</si>
  <si>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</si>
  <si>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</si>
  <si>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</si>
  <si>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</si>
  <si>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</si>
  <si>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</si>
  <si>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</si>
  <si>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</si>
  <si>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</si>
  <si>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</si>
  <si>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</si>
  <si>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</si>
  <si>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</si>
  <si>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</si>
  <si>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</si>
  <si>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</si>
  <si>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</si>
  <si>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</si>
  <si>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</si>
  <si>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</si>
  <si>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</si>
  <si>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</si>
  <si>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</si>
  <si>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</si>
  <si>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</si>
  <si>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</si>
  <si>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</si>
  <si>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</si>
  <si>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</si>
  <si>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</si>
  <si>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</si>
  <si>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</si>
  <si>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</si>
  <si>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</si>
  <si>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</si>
  <si>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</si>
  <si>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</si>
  <si>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</si>
  <si>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</si>
  <si>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</si>
  <si>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</si>
  <si>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</si>
  <si>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</si>
  <si>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</si>
  <si>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</si>
  <si>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</si>
  <si>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</si>
  <si>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</si>
  <si>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</si>
  <si>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</si>
  <si>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</si>
  <si>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</si>
  <si>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</si>
  <si>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</si>
  <si>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</si>
  <si>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</si>
  <si>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</si>
  <si>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</si>
  <si>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</si>
  <si>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</si>
  <si>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</si>
  <si>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</si>
  <si>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</si>
  <si>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</si>
  <si>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</si>
  <si>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</si>
  <si>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</si>
  <si>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</si>
  <si>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</si>
  <si>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</si>
  <si>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</si>
  <si>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</si>
  <si>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</si>
  <si>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</si>
  <si>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</si>
  <si>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</si>
  <si>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</si>
  <si>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</si>
  <si>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</si>
  <si>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</si>
  <si>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</si>
  <si>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</si>
  <si>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</si>
  <si>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</si>
  <si>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</si>
  <si>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</si>
  <si>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</si>
  <si>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</si>
  <si>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</si>
  <si>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</si>
  <si>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</si>
  <si>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</si>
  <si>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</si>
  <si>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</si>
  <si>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</si>
  <si>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</si>
  <si>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</si>
  <si>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</si>
  <si>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</si>
  <si>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</si>
  <si>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</si>
  <si>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</si>
  <si>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</si>
  <si>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</si>
  <si>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</si>
  <si>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</si>
  <si>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</si>
  <si>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</si>
  <si>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</si>
  <si>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</si>
  <si>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</si>
  <si>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</si>
  <si>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</si>
  <si>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</si>
  <si>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</si>
  <si>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</si>
  <si>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</si>
  <si>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</si>
  <si>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</si>
  <si>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</si>
  <si>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</si>
  <si>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</si>
  <si>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</si>
  <si>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</si>
  <si>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</si>
  <si>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</si>
  <si>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</si>
  <si>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</si>
  <si>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</si>
  <si>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</si>
  <si>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</si>
  <si>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</si>
  <si>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</si>
  <si>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</si>
  <si>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</si>
  <si>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</si>
  <si>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</si>
  <si>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</si>
  <si>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</si>
  <si>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</si>
  <si>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</si>
  <si>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</si>
  <si>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</si>
  <si>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</si>
  <si>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</si>
  <si>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</si>
  <si>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</si>
  <si>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</si>
  <si>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</si>
  <si>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</si>
  <si>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</si>
  <si>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</si>
  <si>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</si>
  <si>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</si>
  <si>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</si>
  <si>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</si>
  <si>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</si>
  <si>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</si>
  <si>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</si>
  <si>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</si>
  <si>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</si>
  <si>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</si>
  <si>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</si>
  <si>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</si>
  <si>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</si>
  <si>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</si>
  <si>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</si>
  <si>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</si>
  <si>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</si>
  <si>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</si>
  <si>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</si>
  <si>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</si>
  <si>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</si>
  <si>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</si>
  <si>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</si>
  <si>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</si>
  <si>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</si>
  <si>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</si>
  <si>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</si>
  <si>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</si>
  <si>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</si>
  <si>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</si>
  <si>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</si>
  <si>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</si>
  <si>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</si>
  <si>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</si>
  <si>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</si>
  <si>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</si>
  <si>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</si>
  <si>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</si>
  <si>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</si>
  <si>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</si>
  <si>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</si>
  <si>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</si>
  <si>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</si>
  <si>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</si>
  <si>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</si>
  <si>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</si>
  <si>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</si>
  <si>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</si>
  <si>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</si>
  <si>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</si>
  <si>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</si>
  <si>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</si>
  <si>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</si>
  <si>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</si>
  <si>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</si>
  <si>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</si>
  <si>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</si>
  <si>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</si>
  <si>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</si>
  <si>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</si>
  <si>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</si>
  <si>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</si>
  <si>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</si>
  <si>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</si>
  <si>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</si>
  <si>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</si>
  <si>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</si>
  <si>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</si>
  <si>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</si>
  <si>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</si>
  <si>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</si>
  <si>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</si>
  <si>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</si>
  <si>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</si>
  <si>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</si>
  <si>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</si>
  <si>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</si>
  <si>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</si>
  <si>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</si>
  <si>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</si>
  <si>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</si>
  <si>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</si>
  <si>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</si>
  <si>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</si>
  <si>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</si>
  <si>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</si>
  <si>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</si>
  <si>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</si>
  <si>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</si>
  <si>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</si>
  <si>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</si>
  <si>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</si>
  <si>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</si>
  <si>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</si>
  <si>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</si>
  <si>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</si>
  <si>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</si>
  <si>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</si>
  <si>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</si>
  <si>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</si>
  <si>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</si>
  <si>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</si>
  <si>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</si>
  <si>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</si>
  <si>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</si>
  <si>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</si>
  <si>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</si>
  <si>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</si>
  <si>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</si>
  <si>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</si>
  <si>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</si>
  <si>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</si>
  <si>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</si>
  <si>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</si>
  <si>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</si>
  <si>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</si>
  <si>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</si>
  <si>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</si>
  <si>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</si>
  <si>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</si>
  <si>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</si>
  <si>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</si>
  <si>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</si>
  <si>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</si>
  <si>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</si>
  <si>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</si>
  <si>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</si>
  <si>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</si>
  <si>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</si>
  <si>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</si>
  <si>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</si>
  <si>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</si>
  <si>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</si>
  <si>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</si>
  <si>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</si>
  <si>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</si>
  <si>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</si>
  <si>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</si>
  <si>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</si>
  <si>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</si>
  <si>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</si>
  <si>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Trần Kim Sơn</t>
  </si>
  <si>
    <t>Nguyễn Ngọc Đắc</t>
  </si>
  <si>
    <t>Ứng Anh Tuấn</t>
  </si>
  <si>
    <t>Phạm Thị Linh Điệp</t>
  </si>
  <si>
    <t>Triệu Thu Hằng</t>
  </si>
  <si>
    <t>Nguyễn Tuyên</t>
  </si>
  <si>
    <t>Hoàng Anh Tuấn</t>
  </si>
  <si>
    <t>Phan Thị Mai Thảo</t>
  </si>
  <si>
    <t>Chi cục THADS thành phố Tuyên Quang</t>
  </si>
  <si>
    <t>Cao Trọng Thủy</t>
  </si>
  <si>
    <t xml:space="preserve">Đỗ Hồng Thuỷ </t>
  </si>
  <si>
    <t xml:space="preserve">Đỗ Quý Cường </t>
  </si>
  <si>
    <t xml:space="preserve">Hoàng Đức Úy </t>
  </si>
  <si>
    <t>Nguyễn Đức Tiến</t>
  </si>
  <si>
    <t>Nguyễn Quang Huy</t>
  </si>
  <si>
    <t>Chi cục THADS H. Yên Sơn</t>
  </si>
  <si>
    <t xml:space="preserve"> Trần Xí Nghiệp</t>
  </si>
  <si>
    <t xml:space="preserve"> Vũ Hồng Quân</t>
  </si>
  <si>
    <t xml:space="preserve"> Lương Hồ Điệp</t>
  </si>
  <si>
    <t xml:space="preserve"> Đào Đức Hải</t>
  </si>
  <si>
    <t xml:space="preserve">Trần Quang Hưng </t>
  </si>
  <si>
    <t>Ma Đình Thành</t>
  </si>
  <si>
    <t>Hoàng Thị Hoa</t>
  </si>
  <si>
    <t>Triệu Văn Toán</t>
  </si>
  <si>
    <t>Lê Xuân Giang</t>
  </si>
  <si>
    <t>Nông Văn Thăng</t>
  </si>
  <si>
    <t>Chi cục THADS H. Hàm Yên</t>
  </si>
  <si>
    <t>Bàn Văn Thịnh</t>
  </si>
  <si>
    <t>Hà Duy Hiển</t>
  </si>
  <si>
    <t>Chi cục THADS H. Chiêm Hóa</t>
  </si>
  <si>
    <t>Trần Hữu Cường</t>
  </si>
  <si>
    <t>Lâm Văn Chiến</t>
  </si>
  <si>
    <t>Trần Quang Quân</t>
  </si>
  <si>
    <t>Chi cục THADS H. Nà Hang</t>
  </si>
  <si>
    <t>Trương Thành Thủy</t>
  </si>
  <si>
    <t>Dương Minh Khánh</t>
  </si>
  <si>
    <t>Chi cục THADS H. Lâm Bình</t>
  </si>
  <si>
    <t xml:space="preserve"> Nguyễn Thanh Bình</t>
  </si>
  <si>
    <t xml:space="preserve"> Nguyễn Thanh Hải</t>
  </si>
  <si>
    <t>Chi cục THADS H. Sơn Dương</t>
  </si>
  <si>
    <t>Cục THADS</t>
  </si>
  <si>
    <t>Chi cục THADS TP</t>
  </si>
  <si>
    <t>Trần Anh Huy</t>
  </si>
  <si>
    <t>Trần Quang Hưng</t>
  </si>
  <si>
    <t xml:space="preserve">Nguyễn Tuyên </t>
  </si>
  <si>
    <t xml:space="preserve">   KẾT QUẢ THI HÀNH ÁN DÂN SỰ TÍNH BẰNG TIÊN</t>
  </si>
  <si>
    <t>Cục THADS tỉnh Tuyên Quang</t>
  </si>
  <si>
    <r>
      <t xml:space="preserve">Đơn vị nhận báo cáo: </t>
    </r>
    <r>
      <rPr>
        <b/>
        <sz val="9"/>
        <rFont val="Times New Roman"/>
        <family val="1"/>
      </rPr>
      <t>Tổng cục</t>
    </r>
  </si>
  <si>
    <t>Duy Thị Thúy</t>
  </si>
  <si>
    <t>Nguyễn Thị Dương Hồng</t>
  </si>
  <si>
    <t>Nguyễn Hồng Nghị</t>
  </si>
  <si>
    <t>Hà Ích Đạt</t>
  </si>
  <si>
    <t>Phạm Đức Thắng</t>
  </si>
  <si>
    <t xml:space="preserve">Hoàng Quang Hà </t>
  </si>
  <si>
    <t xml:space="preserve">Nguyễn Văn Quế </t>
  </si>
  <si>
    <t>01 tháng / năm 2018</t>
  </si>
  <si>
    <t>Tuyên Quang, ngày 05  tháng 11  năm 2017</t>
  </si>
  <si>
    <t>Tỷ lệ 
có điều kiện/Tổng số phải thi hành</t>
  </si>
  <si>
    <t>Tổng thụ lý 
tăng (giảm)
so cùng kỳ</t>
  </si>
  <si>
    <t>Thụ lý mới 
tăng (giảm)
so cùng kỳ</t>
  </si>
  <si>
    <t>Tổng phải thi hành
 tăng (giảm)
 so cùng kỳ</t>
  </si>
  <si>
    <t>Tổng có điều kiện
 tăng (giảm) 
so cùng kỳ</t>
  </si>
  <si>
    <t>Thi hành xong 
tăng (giảm) 
so cùng kỳ</t>
  </si>
  <si>
    <t>Tỷ lệ giảm số tiền 
có điều kiện chuyển kỳ sau/số có điều kiện năm 2017 chuyển sang 2018</t>
  </si>
  <si>
    <t>Tỷ lệ giảm số việc 
có điều kiện chuyển kỳ sau/số có điều kiện năm 2017 chuyển sang 2018</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</si>
</sst>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
    <numFmt numFmtId="212" formatCode="#,##0.000;[Red]#,##0.000"/>
    <numFmt numFmtId="213" formatCode="#,##0_ ;[Red]\-#,##0\ "/>
    <numFmt numFmtId="214" formatCode="#,##0.00;[Red]#,##0.00"/>
    <numFmt numFmtId="215" formatCode="#.##0.00;[Red]#.##0.00"/>
    <numFmt numFmtId="216" formatCode="#.##0.000;[Red]#.##0.000"/>
    <numFmt numFmtId="217" formatCode="#.##0.0000;[Red]#.##0.0000"/>
    <numFmt numFmtId="218" formatCode="#,###"/>
    <numFmt numFmtId="219" formatCode="0.0%"/>
  </numFmts>
  <fonts count="145">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i/>
      <sz val="9"/>
      <name val="Times New Roman"/>
      <family val="1"/>
    </font>
    <font>
      <sz val="8"/>
      <name val=".VnTime"/>
      <family val="2"/>
    </font>
    <font>
      <b/>
      <sz val="9"/>
      <color indexed="14"/>
      <name val="Times New Roman"/>
      <family val="1"/>
    </font>
    <font>
      <sz val="9"/>
      <name val=".VnTime"/>
      <family val="2"/>
    </font>
    <font>
      <b/>
      <sz val="8"/>
      <name val="Times New Roman"/>
      <family val="1"/>
    </font>
    <font>
      <sz val="10"/>
      <color indexed="8"/>
      <name val="Times New Roman"/>
      <family val="1"/>
    </font>
    <font>
      <sz val="12"/>
      <color indexed="8"/>
      <name val="Times New Roman"/>
      <family val="1"/>
    </font>
    <font>
      <b/>
      <sz val="10"/>
      <color indexed="8"/>
      <name val="Times New Roman"/>
      <family val="1"/>
    </font>
    <font>
      <sz val="10"/>
      <name val=".VnTime"/>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2" tint="-0.09996999800205231"/>
        <bgColor indexed="64"/>
      </patternFill>
    </fill>
    <fill>
      <patternFill patternType="solid">
        <fgColor indexed="40"/>
        <bgColor indexed="64"/>
      </patternFill>
    </fill>
    <fill>
      <patternFill patternType="solid">
        <fgColor theme="3" tint="0.799979984760284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double"/>
      <right style="thin"/>
      <top style="thin"/>
      <bottom style="thin"/>
    </border>
    <border>
      <left style="thin"/>
      <right style="thin"/>
      <top>
        <color indexed="63"/>
      </top>
      <bottom>
        <color indexed="63"/>
      </bottom>
    </border>
    <border>
      <left>
        <color indexed="63"/>
      </left>
      <right>
        <color indexed="63"/>
      </right>
      <top style="double"/>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color indexed="63"/>
      </top>
      <bottom>
        <color indexed="63"/>
      </bottom>
    </border>
    <border>
      <left style="double"/>
      <right style="thin"/>
      <top style="double"/>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s>
  <cellStyleXfs count="1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8"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128"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28"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128"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28"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28"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28"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28"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28"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128" fillId="1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28" fillId="16"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128"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29"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29" fillId="21"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9"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9"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29"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29"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129"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29"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129"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29" fillId="3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129" fillId="3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29"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30" fillId="36"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31" fillId="37" borderId="1" applyNumberFormat="0" applyAlignment="0" applyProtection="0"/>
    <xf numFmtId="0" fontId="38" fillId="38" borderId="2" applyNumberFormat="0" applyAlignment="0" applyProtection="0"/>
    <xf numFmtId="0" fontId="38"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2" fillId="39" borderId="3" applyNumberFormat="0" applyAlignment="0" applyProtection="0"/>
    <xf numFmtId="0" fontId="39" fillId="40" borderId="4" applyNumberFormat="0" applyAlignment="0" applyProtection="0"/>
    <xf numFmtId="0" fontId="39" fillId="40" borderId="4" applyNumberFormat="0" applyAlignment="0" applyProtection="0"/>
    <xf numFmtId="0" fontId="133"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34" fillId="41"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35"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136" fillId="0" borderId="7"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137"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37"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138" fillId="42" borderId="1" applyNumberFormat="0" applyAlignment="0" applyProtection="0"/>
    <xf numFmtId="0" fontId="45" fillId="9" borderId="2" applyNumberFormat="0" applyAlignment="0" applyProtection="0"/>
    <xf numFmtId="0" fontId="45" fillId="9" borderId="2" applyNumberFormat="0" applyAlignment="0" applyProtection="0"/>
    <xf numFmtId="0" fontId="139"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140" fillId="43"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45" borderId="13" applyNumberFormat="0" applyFont="0" applyAlignment="0" applyProtection="0"/>
    <xf numFmtId="0" fontId="35" fillId="46" borderId="14" applyNumberFormat="0" applyFont="0" applyAlignment="0" applyProtection="0"/>
    <xf numFmtId="0" fontId="35" fillId="46" borderId="14" applyNumberFormat="0" applyFont="0" applyAlignment="0" applyProtection="0"/>
    <xf numFmtId="0" fontId="141" fillId="37" borderId="15" applyNumberFormat="0" applyAlignment="0" applyProtection="0"/>
    <xf numFmtId="0" fontId="48" fillId="38" borderId="16" applyNumberFormat="0" applyAlignment="0" applyProtection="0"/>
    <xf numFmtId="0" fontId="48"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4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3" fillId="0" borderId="17" applyNumberFormat="0" applyFill="0" applyAlignment="0" applyProtection="0"/>
    <xf numFmtId="0" fontId="50" fillId="0" borderId="18" applyNumberFormat="0" applyFill="0" applyAlignment="0" applyProtection="0"/>
    <xf numFmtId="0" fontId="50" fillId="0" borderId="18" applyNumberFormat="0" applyFill="0" applyAlignment="0" applyProtection="0"/>
    <xf numFmtId="0" fontId="144"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922">
    <xf numFmtId="0" fontId="0" fillId="0" borderId="0" xfId="0" applyAlignment="1">
      <alignment/>
    </xf>
    <xf numFmtId="49" fontId="0" fillId="0" borderId="0" xfId="0" applyNumberFormat="1" applyFill="1" applyAlignment="1">
      <alignment/>
    </xf>
    <xf numFmtId="49" fontId="9" fillId="0" borderId="0" xfId="93" applyNumberFormat="1" applyFont="1" applyBorder="1" applyAlignment="1">
      <alignment vertical="center"/>
    </xf>
    <xf numFmtId="49" fontId="9" fillId="0" borderId="19" xfId="93"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47" borderId="22" xfId="136" applyNumberFormat="1" applyFont="1" applyFill="1" applyBorder="1" applyAlignment="1">
      <alignment/>
      <protection/>
    </xf>
    <xf numFmtId="49" fontId="7" fillId="0" borderId="20" xfId="136" applyNumberFormat="1" applyFont="1" applyFill="1" applyBorder="1" applyAlignment="1">
      <alignment horizontal="center" vertical="center" wrapText="1"/>
      <protection/>
    </xf>
    <xf numFmtId="49" fontId="52" fillId="48" borderId="20" xfId="136" applyNumberFormat="1" applyFont="1" applyFill="1" applyBorder="1" applyAlignment="1">
      <alignment horizontal="center"/>
      <protection/>
    </xf>
    <xf numFmtId="49" fontId="7" fillId="0" borderId="21"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vertical="center" wrapText="1"/>
      <protection/>
    </xf>
    <xf numFmtId="49" fontId="53" fillId="0" borderId="20" xfId="136" applyNumberFormat="1" applyFont="1" applyFill="1" applyBorder="1" applyAlignment="1">
      <alignment horizontal="center" vertical="center" wrapText="1"/>
      <protection/>
    </xf>
    <xf numFmtId="49" fontId="18"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1" fillId="3" borderId="20" xfId="136" applyNumberFormat="1" applyFont="1" applyFill="1" applyBorder="1" applyAlignment="1">
      <alignment vertical="center"/>
      <protection/>
    </xf>
    <xf numFmtId="3" fontId="56" fillId="3" borderId="20" xfId="136" applyNumberFormat="1" applyFont="1" applyFill="1" applyBorder="1" applyAlignment="1">
      <alignment vertical="center"/>
      <protection/>
    </xf>
    <xf numFmtId="49" fontId="57" fillId="0" borderId="20" xfId="136" applyNumberFormat="1" applyFont="1" applyBorder="1" applyAlignment="1">
      <alignment horizontal="center" vertical="center"/>
      <protection/>
    </xf>
    <xf numFmtId="3" fontId="25" fillId="44" borderId="20" xfId="136" applyNumberFormat="1" applyFont="1" applyFill="1" applyBorder="1" applyAlignment="1">
      <alignment vertical="center"/>
      <protection/>
    </xf>
    <xf numFmtId="3" fontId="3" fillId="48" borderId="20" xfId="136" applyNumberFormat="1" applyFont="1" applyFill="1" applyBorder="1" applyAlignment="1">
      <alignment horizontal="center" vertical="center"/>
      <protection/>
    </xf>
    <xf numFmtId="3" fontId="3" fillId="48" borderId="20" xfId="136" applyNumberFormat="1" applyFont="1" applyFill="1" applyBorder="1" applyAlignment="1">
      <alignment vertical="center"/>
      <protection/>
    </xf>
    <xf numFmtId="49" fontId="7" fillId="44" borderId="20" xfId="136" applyNumberFormat="1" applyFont="1" applyFill="1" applyBorder="1" applyAlignment="1">
      <alignment horizontal="center" vertical="center"/>
      <protection/>
    </xf>
    <xf numFmtId="49" fontId="7" fillId="44" borderId="20" xfId="136" applyNumberFormat="1" applyFont="1" applyFill="1" applyBorder="1" applyAlignment="1">
      <alignment horizontal="left" vertical="center"/>
      <protection/>
    </xf>
    <xf numFmtId="3" fontId="28" fillId="48" borderId="20" xfId="136" applyNumberFormat="1" applyFont="1" applyFill="1" applyBorder="1" applyAlignment="1">
      <alignment vertical="center"/>
      <protection/>
    </xf>
    <xf numFmtId="3" fontId="28" fillId="0" borderId="20" xfId="136" applyNumberFormat="1" applyFont="1" applyFill="1" applyBorder="1" applyAlignment="1">
      <alignment vertical="center"/>
      <protection/>
    </xf>
    <xf numFmtId="9" fontId="0" fillId="0" borderId="0" xfId="146" applyFont="1" applyAlignment="1">
      <alignment vertical="center"/>
    </xf>
    <xf numFmtId="49" fontId="7" fillId="44" borderId="23" xfId="136" applyNumberFormat="1" applyFont="1" applyFill="1" applyBorder="1" applyAlignment="1">
      <alignment horizontal="center" vertical="center"/>
      <protection/>
    </xf>
    <xf numFmtId="3" fontId="25" fillId="44" borderId="20" xfId="136" applyNumberFormat="1" applyFont="1" applyFill="1" applyBorder="1" applyAlignment="1">
      <alignment vertical="center"/>
      <protection/>
    </xf>
    <xf numFmtId="49" fontId="4" fillId="0" borderId="20" xfId="136" applyNumberFormat="1" applyFont="1" applyBorder="1" applyAlignment="1">
      <alignment horizontal="center" vertical="center"/>
      <protection/>
    </xf>
    <xf numFmtId="49" fontId="4" fillId="47" borderId="20" xfId="136" applyNumberFormat="1" applyFont="1" applyFill="1" applyBorder="1" applyAlignment="1">
      <alignment horizontal="left" vertical="center"/>
      <protection/>
    </xf>
    <xf numFmtId="49" fontId="5" fillId="47" borderId="20" xfId="136" applyNumberFormat="1" applyFont="1" applyFill="1" applyBorder="1" applyAlignment="1">
      <alignment horizontal="left" vertical="center"/>
      <protection/>
    </xf>
    <xf numFmtId="3" fontId="28" fillId="0" borderId="20" xfId="138" applyNumberFormat="1" applyFont="1" applyFill="1" applyBorder="1" applyAlignment="1">
      <alignment vertical="center"/>
      <protection/>
    </xf>
    <xf numFmtId="49" fontId="20" fillId="0" borderId="0" xfId="136" applyNumberFormat="1" applyFont="1" applyAlignment="1">
      <alignment vertical="center"/>
      <protection/>
    </xf>
    <xf numFmtId="49" fontId="4" fillId="47" borderId="20" xfId="136" applyNumberFormat="1" applyFont="1" applyFill="1" applyBorder="1" applyAlignment="1">
      <alignment horizontal="left" vertical="center"/>
      <protection/>
    </xf>
    <xf numFmtId="3" fontId="28" fillId="0" borderId="20" xfId="138"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8" fillId="0" borderId="0" xfId="136" applyNumberFormat="1" applyFont="1" applyFill="1" applyBorder="1" applyAlignment="1">
      <alignment horizontal="center" wrapText="1"/>
      <protection/>
    </xf>
    <xf numFmtId="49" fontId="58" fillId="0" borderId="0" xfId="136" applyNumberFormat="1" applyFont="1" applyBorder="1">
      <alignment/>
      <protection/>
    </xf>
    <xf numFmtId="49" fontId="59" fillId="0" borderId="0" xfId="136" applyNumberFormat="1" applyFont="1">
      <alignment/>
      <protection/>
    </xf>
    <xf numFmtId="49" fontId="1" fillId="0" borderId="0" xfId="136" applyNumberFormat="1" applyFont="1">
      <alignment/>
      <protection/>
    </xf>
    <xf numFmtId="9" fontId="1" fillId="0" borderId="0" xfId="146" applyFont="1" applyAlignment="1">
      <alignment/>
    </xf>
    <xf numFmtId="49" fontId="60"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1" fillId="0" borderId="0" xfId="136" applyNumberFormat="1" applyFont="1" applyBorder="1">
      <alignment/>
      <protection/>
    </xf>
    <xf numFmtId="49" fontId="62" fillId="0" borderId="0" xfId="136" applyNumberFormat="1" applyFont="1" applyBorder="1" applyAlignment="1">
      <alignment wrapText="1"/>
      <protection/>
    </xf>
    <xf numFmtId="49" fontId="2" fillId="0" borderId="0" xfId="136" applyNumberFormat="1" applyFont="1" applyBorder="1">
      <alignment/>
      <protection/>
    </xf>
    <xf numFmtId="49" fontId="39" fillId="0" borderId="0" xfId="136" applyNumberFormat="1" applyFont="1" applyBorder="1" applyAlignment="1">
      <alignment horizontal="center" wrapText="1"/>
      <protection/>
    </xf>
    <xf numFmtId="49" fontId="39" fillId="0" borderId="0" xfId="136" applyNumberFormat="1" applyFont="1" applyFill="1" applyBorder="1" applyAlignment="1">
      <alignment horizontal="center" wrapText="1"/>
      <protection/>
    </xf>
    <xf numFmtId="49" fontId="63" fillId="0" borderId="0" xfId="136" applyNumberFormat="1" applyFont="1" applyBorder="1">
      <alignment/>
      <protection/>
    </xf>
    <xf numFmtId="49" fontId="28" fillId="0" borderId="0" xfId="136" applyNumberFormat="1" applyFont="1">
      <alignment/>
      <protection/>
    </xf>
    <xf numFmtId="49" fontId="28" fillId="0" borderId="0" xfId="136" applyNumberFormat="1" applyFont="1" applyFill="1">
      <alignment/>
      <protection/>
    </xf>
    <xf numFmtId="49" fontId="28" fillId="47" borderId="0" xfId="136" applyNumberFormat="1" applyFont="1" applyFill="1">
      <alignment/>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0" fontId="65" fillId="0" borderId="0" xfId="136" applyFont="1" applyAlignment="1">
      <alignment/>
      <protection/>
    </xf>
    <xf numFmtId="0" fontId="3" fillId="0" borderId="0" xfId="136" applyFont="1" applyAlignment="1">
      <alignment/>
      <protection/>
    </xf>
    <xf numFmtId="49" fontId="30"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22" xfId="136" applyNumberFormat="1" applyFont="1" applyFill="1" applyBorder="1" applyAlignment="1">
      <alignment/>
      <protection/>
    </xf>
    <xf numFmtId="49" fontId="5" fillId="0" borderId="22" xfId="136" applyNumberFormat="1" applyFont="1" applyFill="1" applyBorder="1" applyAlignment="1">
      <alignment horizontal="center"/>
      <protection/>
    </xf>
    <xf numFmtId="49" fontId="0" fillId="0" borderId="0" xfId="136" applyNumberFormat="1" applyFill="1" applyBorder="1">
      <alignment/>
      <protection/>
    </xf>
    <xf numFmtId="49" fontId="6" fillId="0" borderId="20" xfId="136" applyNumberFormat="1" applyFont="1" applyFill="1" applyBorder="1" applyAlignment="1">
      <alignment horizontal="center" vertical="center" wrapText="1"/>
      <protection/>
    </xf>
    <xf numFmtId="49" fontId="19" fillId="0" borderId="20" xfId="136" applyNumberFormat="1" applyFont="1" applyFill="1" applyBorder="1" applyAlignment="1">
      <alignment horizontal="center" vertical="center" wrapText="1"/>
      <protection/>
    </xf>
    <xf numFmtId="3" fontId="29" fillId="3" borderId="20" xfId="136" applyNumberFormat="1" applyFont="1" applyFill="1" applyBorder="1" applyAlignment="1">
      <alignment horizontal="center" vertical="center" wrapText="1"/>
      <protection/>
    </xf>
    <xf numFmtId="3" fontId="68" fillId="3" borderId="20" xfId="136" applyNumberFormat="1" applyFont="1" applyFill="1" applyBorder="1" applyAlignment="1">
      <alignment horizontal="center" vertical="center" wrapText="1"/>
      <protection/>
    </xf>
    <xf numFmtId="3" fontId="6" fillId="44" borderId="20"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 fillId="0" borderId="20" xfId="136" applyNumberFormat="1" applyFont="1" applyFill="1" applyBorder="1" applyAlignment="1">
      <alignment horizontal="left"/>
      <protection/>
    </xf>
    <xf numFmtId="3" fontId="5" fillId="44" borderId="20" xfId="136" applyNumberFormat="1" applyFont="1" applyFill="1" applyBorder="1" applyAlignment="1">
      <alignment horizontal="center" vertical="center" wrapText="1"/>
      <protection/>
    </xf>
    <xf numFmtId="3" fontId="5" fillId="0" borderId="20" xfId="136" applyNumberFormat="1" applyFont="1" applyFill="1" applyBorder="1" applyAlignment="1">
      <alignment horizontal="center" vertical="center" wrapText="1"/>
      <protection/>
    </xf>
    <xf numFmtId="9" fontId="0" fillId="0" borderId="0" xfId="146" applyFont="1" applyFill="1" applyAlignment="1">
      <alignment/>
    </xf>
    <xf numFmtId="49" fontId="7" fillId="44" borderId="23" xfId="136" applyNumberFormat="1" applyFont="1" applyFill="1" applyBorder="1" applyAlignment="1">
      <alignment horizontal="center"/>
      <protection/>
    </xf>
    <xf numFmtId="49" fontId="7" fillId="44" borderId="20" xfId="136" applyNumberFormat="1" applyFont="1" applyFill="1" applyBorder="1" applyAlignment="1">
      <alignment horizontal="left"/>
      <protection/>
    </xf>
    <xf numFmtId="49" fontId="4" fillId="0" borderId="23" xfId="136" applyNumberFormat="1" applyFont="1" applyFill="1" applyBorder="1" applyAlignment="1">
      <alignment horizontal="center"/>
      <protection/>
    </xf>
    <xf numFmtId="49" fontId="4" fillId="47" borderId="20" xfId="136" applyNumberFormat="1" applyFont="1" applyFill="1" applyBorder="1" applyAlignment="1">
      <alignment horizontal="left"/>
      <protection/>
    </xf>
    <xf numFmtId="3" fontId="5" fillId="47" borderId="20" xfId="136" applyNumberFormat="1" applyFont="1" applyFill="1" applyBorder="1" applyAlignment="1">
      <alignment horizontal="center" vertical="center" wrapText="1"/>
      <protection/>
    </xf>
    <xf numFmtId="49" fontId="5" fillId="47" borderId="20" xfId="136" applyNumberFormat="1" applyFont="1" applyFill="1" applyBorder="1" applyAlignment="1">
      <alignment horizontal="left"/>
      <protection/>
    </xf>
    <xf numFmtId="49" fontId="6" fillId="0" borderId="19" xfId="136" applyNumberFormat="1" applyFont="1" applyFill="1" applyBorder="1" applyAlignment="1">
      <alignment horizontal="center"/>
      <protection/>
    </xf>
    <xf numFmtId="49" fontId="6" fillId="0" borderId="19" xfId="136" applyNumberFormat="1" applyFont="1" applyFill="1" applyBorder="1" applyAlignment="1">
      <alignment horizontal="left"/>
      <protection/>
    </xf>
    <xf numFmtId="3" fontId="5" fillId="0" borderId="19"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69" fillId="0" borderId="0" xfId="136" applyNumberFormat="1" applyFont="1" applyFill="1">
      <alignment/>
      <protection/>
    </xf>
    <xf numFmtId="49" fontId="4" fillId="0" borderId="0" xfId="136" applyNumberFormat="1" applyFont="1" applyFill="1">
      <alignment/>
      <protection/>
    </xf>
    <xf numFmtId="49" fontId="0" fillId="47" borderId="0" xfId="136" applyNumberFormat="1" applyFont="1" applyFill="1">
      <alignment/>
      <protection/>
    </xf>
    <xf numFmtId="49" fontId="3" fillId="47"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20" xfId="136" applyNumberFormat="1" applyFont="1" applyBorder="1" applyAlignment="1">
      <alignment horizontal="center"/>
      <protection/>
    </xf>
    <xf numFmtId="3" fontId="4" fillId="4" borderId="20" xfId="138" applyNumberFormat="1" applyFont="1" applyFill="1" applyBorder="1" applyAlignment="1">
      <alignment horizontal="center" vertical="center"/>
      <protection/>
    </xf>
    <xf numFmtId="3" fontId="31" fillId="47" borderId="20" xfId="136" applyNumberFormat="1" applyFont="1" applyFill="1" applyBorder="1" applyAlignment="1">
      <alignment horizontal="center" vertical="center"/>
      <protection/>
    </xf>
    <xf numFmtId="3" fontId="17" fillId="3" borderId="20" xfId="136" applyNumberFormat="1" applyFont="1" applyFill="1" applyBorder="1" applyAlignment="1">
      <alignment horizontal="center" vertical="center"/>
      <protection/>
    </xf>
    <xf numFmtId="3" fontId="33" fillId="3"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 borderId="20" xfId="138" applyNumberFormat="1" applyFont="1" applyFill="1" applyBorder="1" applyAlignment="1">
      <alignment horizontal="center" vertical="center"/>
      <protection/>
    </xf>
    <xf numFmtId="49" fontId="7" fillId="0" borderId="20" xfId="136" applyNumberFormat="1" applyFont="1" applyBorder="1" applyAlignment="1">
      <alignment horizontal="center" vertical="center"/>
      <protection/>
    </xf>
    <xf numFmtId="49" fontId="7" fillId="47" borderId="20" xfId="136" applyNumberFormat="1" applyFont="1" applyFill="1" applyBorder="1" applyAlignment="1">
      <alignment horizontal="left" vertical="center"/>
      <protection/>
    </xf>
    <xf numFmtId="3" fontId="4" fillId="47" borderId="20" xfId="136" applyNumberFormat="1" applyFont="1" applyFill="1" applyBorder="1" applyAlignment="1">
      <alignment horizontal="center" vertical="center"/>
      <protection/>
    </xf>
    <xf numFmtId="3" fontId="4" fillId="44" borderId="20" xfId="136" applyNumberFormat="1" applyFont="1" applyFill="1" applyBorder="1" applyAlignment="1">
      <alignment horizontal="center" vertical="center"/>
      <protection/>
    </xf>
    <xf numFmtId="49" fontId="4"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20" xfId="136" applyNumberFormat="1" applyFont="1" applyFill="1" applyBorder="1" applyAlignment="1">
      <alignment horizontal="center" vertical="center"/>
      <protection/>
    </xf>
    <xf numFmtId="3" fontId="4" fillId="47" borderId="20" xfId="138" applyNumberFormat="1" applyFont="1" applyFill="1" applyBorder="1" applyAlignment="1">
      <alignment horizontal="center" vertical="center"/>
      <protection/>
    </xf>
    <xf numFmtId="49" fontId="4" fillId="47" borderId="23" xfId="136" applyNumberFormat="1" applyFont="1" applyFill="1" applyBorder="1" applyAlignment="1">
      <alignment horizontal="center" vertical="center"/>
      <protection/>
    </xf>
    <xf numFmtId="9" fontId="20" fillId="0" borderId="0" xfId="146" applyFont="1" applyAlignment="1">
      <alignment vertical="center"/>
    </xf>
    <xf numFmtId="49" fontId="4" fillId="0" borderId="0" xfId="136" applyNumberFormat="1" applyFont="1" applyBorder="1" applyAlignment="1">
      <alignment horizontal="center"/>
      <protection/>
    </xf>
    <xf numFmtId="49" fontId="4"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47" borderId="19" xfId="138" applyNumberFormat="1" applyFont="1" applyFill="1" applyBorder="1" applyAlignment="1">
      <alignment horizontal="center" vertical="center"/>
      <protection/>
    </xf>
    <xf numFmtId="9" fontId="0" fillId="0" borderId="0" xfId="146" applyFont="1" applyAlignment="1">
      <alignment/>
    </xf>
    <xf numFmtId="49" fontId="28" fillId="0" borderId="0" xfId="136" applyNumberFormat="1" applyFont="1" applyBorder="1" applyAlignment="1">
      <alignment wrapText="1"/>
      <protection/>
    </xf>
    <xf numFmtId="3" fontId="4" fillId="47" borderId="0" xfId="138" applyNumberFormat="1" applyFont="1" applyFill="1" applyBorder="1" applyAlignment="1">
      <alignment horizontal="center" vertical="center"/>
      <protection/>
    </xf>
    <xf numFmtId="49" fontId="28" fillId="0" borderId="0" xfId="136" applyNumberFormat="1" applyFont="1" applyAlignment="1">
      <alignment wrapText="1"/>
      <protection/>
    </xf>
    <xf numFmtId="49" fontId="36" fillId="0" borderId="0" xfId="136" applyNumberFormat="1" applyFont="1">
      <alignment/>
      <protection/>
    </xf>
    <xf numFmtId="49" fontId="36" fillId="0" borderId="0" xfId="136" applyNumberFormat="1" applyFont="1" applyAlignment="1">
      <alignment wrapText="1"/>
      <protection/>
    </xf>
    <xf numFmtId="49" fontId="3" fillId="47" borderId="0" xfId="136" applyNumberFormat="1" applyFont="1" applyFill="1" applyAlignment="1">
      <alignment/>
      <protection/>
    </xf>
    <xf numFmtId="49" fontId="71" fillId="0" borderId="0" xfId="136" applyNumberFormat="1" applyFont="1">
      <alignment/>
      <protection/>
    </xf>
    <xf numFmtId="49" fontId="13" fillId="0" borderId="0" xfId="136" applyNumberFormat="1" applyFont="1" applyBorder="1" applyAlignment="1">
      <alignment wrapText="1"/>
      <protection/>
    </xf>
    <xf numFmtId="49" fontId="0" fillId="0" borderId="0" xfId="139" applyNumberFormat="1" applyFont="1" applyAlignment="1">
      <alignment horizontal="left"/>
      <protection/>
    </xf>
    <xf numFmtId="49" fontId="14" fillId="0" borderId="0" xfId="139" applyNumberFormat="1" applyFont="1" applyAlignment="1">
      <alignment wrapText="1"/>
      <protection/>
    </xf>
    <xf numFmtId="49" fontId="3" fillId="47" borderId="0" xfId="139" applyNumberFormat="1" applyFont="1" applyFill="1" applyBorder="1" applyAlignment="1">
      <alignment horizontal="left"/>
      <protection/>
    </xf>
    <xf numFmtId="49" fontId="0" fillId="47" borderId="0" xfId="139" applyNumberFormat="1" applyFont="1" applyFill="1" applyBorder="1" applyAlignment="1">
      <alignment horizontal="left"/>
      <protection/>
    </xf>
    <xf numFmtId="49" fontId="26" fillId="0" borderId="0" xfId="139" applyNumberFormat="1" applyFont="1">
      <alignment/>
      <protection/>
    </xf>
    <xf numFmtId="49" fontId="0" fillId="47" borderId="0" xfId="139" applyNumberFormat="1" applyFont="1" applyFill="1" applyBorder="1" applyAlignment="1">
      <alignment/>
      <protection/>
    </xf>
    <xf numFmtId="49" fontId="3" fillId="0" borderId="0" xfId="139" applyNumberFormat="1" applyFont="1" applyBorder="1" applyAlignment="1">
      <alignment horizontal="left"/>
      <protection/>
    </xf>
    <xf numFmtId="49" fontId="0" fillId="0" borderId="0" xfId="139" applyNumberFormat="1" applyFont="1" applyBorder="1" applyAlignment="1">
      <alignment horizontal="left"/>
      <protection/>
    </xf>
    <xf numFmtId="49" fontId="0" fillId="0" borderId="0" xfId="139" applyNumberFormat="1" applyFont="1" applyBorder="1" applyAlignment="1">
      <alignment/>
      <protection/>
    </xf>
    <xf numFmtId="49" fontId="18" fillId="0" borderId="22" xfId="139" applyNumberFormat="1" applyFont="1" applyBorder="1" applyAlignment="1">
      <alignment horizontal="left"/>
      <protection/>
    </xf>
    <xf numFmtId="49" fontId="3" fillId="0" borderId="22" xfId="139" applyNumberFormat="1" applyFont="1" applyBorder="1" applyAlignment="1">
      <alignment horizontal="left"/>
      <protection/>
    </xf>
    <xf numFmtId="49" fontId="26" fillId="0" borderId="0" xfId="139" applyNumberFormat="1" applyFont="1" applyFill="1">
      <alignment/>
      <protection/>
    </xf>
    <xf numFmtId="49" fontId="26" fillId="0" borderId="0" xfId="139" applyNumberFormat="1" applyFont="1" applyAlignment="1">
      <alignment vertical="center"/>
      <protection/>
    </xf>
    <xf numFmtId="49" fontId="6" fillId="47" borderId="20" xfId="139" applyNumberFormat="1" applyFont="1" applyFill="1" applyBorder="1" applyAlignment="1">
      <alignment horizontal="left" vertical="center"/>
      <protection/>
    </xf>
    <xf numFmtId="49" fontId="1" fillId="0" borderId="0" xfId="139" applyNumberFormat="1" applyFont="1">
      <alignment/>
      <protection/>
    </xf>
    <xf numFmtId="49" fontId="28" fillId="0" borderId="0" xfId="139" applyNumberFormat="1" applyFont="1" applyBorder="1" applyAlignment="1">
      <alignment/>
      <protection/>
    </xf>
    <xf numFmtId="49" fontId="78" fillId="0" borderId="0" xfId="139" applyNumberFormat="1" applyFont="1">
      <alignment/>
      <protection/>
    </xf>
    <xf numFmtId="49" fontId="25" fillId="0" borderId="0" xfId="139" applyNumberFormat="1" applyFont="1" applyBorder="1" applyAlignment="1">
      <alignment/>
      <protection/>
    </xf>
    <xf numFmtId="49" fontId="5" fillId="0" borderId="0" xfId="139" applyNumberFormat="1" applyFont="1">
      <alignment/>
      <protection/>
    </xf>
    <xf numFmtId="49" fontId="28" fillId="0" borderId="0" xfId="139" applyNumberFormat="1" applyFont="1" applyAlignment="1">
      <alignment horizontal="center"/>
      <protection/>
    </xf>
    <xf numFmtId="49" fontId="28" fillId="0" borderId="0" xfId="139" applyNumberFormat="1" applyFont="1">
      <alignment/>
      <protection/>
    </xf>
    <xf numFmtId="49" fontId="78" fillId="0" borderId="0" xfId="139" applyNumberFormat="1" applyFont="1" applyAlignment="1">
      <alignment horizontal="center"/>
      <protection/>
    </xf>
    <xf numFmtId="49" fontId="13" fillId="0" borderId="0" xfId="139" applyNumberFormat="1" applyFont="1" applyBorder="1" applyAlignment="1">
      <alignment wrapText="1"/>
      <protection/>
    </xf>
    <xf numFmtId="49" fontId="80" fillId="0" borderId="0" xfId="139" applyNumberFormat="1" applyFont="1">
      <alignment/>
      <protection/>
    </xf>
    <xf numFmtId="9" fontId="26" fillId="0" borderId="0" xfId="146" applyFont="1" applyAlignment="1">
      <alignment/>
    </xf>
    <xf numFmtId="3" fontId="0" fillId="47" borderId="0" xfId="139" applyNumberFormat="1" applyFont="1" applyFill="1" applyBorder="1" applyAlignment="1">
      <alignment/>
      <protection/>
    </xf>
    <xf numFmtId="0" fontId="26" fillId="0" borderId="0" xfId="139">
      <alignment/>
      <protection/>
    </xf>
    <xf numFmtId="0" fontId="0" fillId="0" borderId="0" xfId="139" applyFont="1" applyAlignment="1">
      <alignment horizontal="left"/>
      <protection/>
    </xf>
    <xf numFmtId="0" fontId="0" fillId="0" borderId="0" xfId="139" applyFont="1" applyBorder="1" applyAlignment="1">
      <alignment/>
      <protection/>
    </xf>
    <xf numFmtId="0" fontId="0" fillId="0" borderId="0" xfId="139" applyFont="1" applyBorder="1" applyAlignment="1">
      <alignment horizontal="left"/>
      <protection/>
    </xf>
    <xf numFmtId="0" fontId="26" fillId="0" borderId="0" xfId="139" applyFont="1">
      <alignment/>
      <protection/>
    </xf>
    <xf numFmtId="0" fontId="6" fillId="0" borderId="20" xfId="139" applyFont="1" applyBorder="1" applyAlignment="1">
      <alignment horizontal="center" vertical="center"/>
      <protection/>
    </xf>
    <xf numFmtId="0" fontId="6" fillId="47" borderId="20" xfId="139" applyFont="1" applyFill="1" applyBorder="1" applyAlignment="1">
      <alignment horizontal="left" vertical="center"/>
      <protection/>
    </xf>
    <xf numFmtId="9" fontId="26" fillId="0" borderId="0" xfId="146" applyFont="1" applyAlignment="1">
      <alignment vertical="center"/>
    </xf>
    <xf numFmtId="0" fontId="5" fillId="0" borderId="23" xfId="139" applyFont="1" applyBorder="1" applyAlignment="1">
      <alignment horizontal="center" vertical="center"/>
      <protection/>
    </xf>
    <xf numFmtId="0" fontId="26" fillId="0" borderId="0" xfId="139" applyFont="1" applyAlignment="1">
      <alignment vertical="center"/>
      <protection/>
    </xf>
    <xf numFmtId="0" fontId="1" fillId="0" borderId="0" xfId="139" applyFont="1">
      <alignment/>
      <protection/>
    </xf>
    <xf numFmtId="0" fontId="25" fillId="0" borderId="0" xfId="139" applyFont="1" applyBorder="1" applyAlignment="1">
      <alignment horizontal="center" wrapText="1"/>
      <protection/>
    </xf>
    <xf numFmtId="0" fontId="28" fillId="0" borderId="0" xfId="139" applyFont="1" applyBorder="1" applyAlignment="1">
      <alignment wrapText="1"/>
      <protection/>
    </xf>
    <xf numFmtId="0" fontId="25" fillId="0" borderId="0" xfId="139" applyNumberFormat="1" applyFont="1" applyBorder="1" applyAlignment="1">
      <alignment/>
      <protection/>
    </xf>
    <xf numFmtId="0" fontId="78" fillId="0" borderId="0" xfId="139" applyFont="1">
      <alignment/>
      <protection/>
    </xf>
    <xf numFmtId="0" fontId="25" fillId="0" borderId="0" xfId="139" applyNumberFormat="1" applyFont="1" applyBorder="1" applyAlignment="1">
      <alignment horizontal="center"/>
      <protection/>
    </xf>
    <xf numFmtId="0" fontId="5" fillId="0" borderId="0" xfId="139" applyFont="1">
      <alignment/>
      <protection/>
    </xf>
    <xf numFmtId="0" fontId="28" fillId="0" borderId="0" xfId="139" applyFont="1">
      <alignment/>
      <protection/>
    </xf>
    <xf numFmtId="0" fontId="25" fillId="0" borderId="0" xfId="136" applyFont="1" applyAlignment="1">
      <alignment/>
      <protection/>
    </xf>
    <xf numFmtId="49" fontId="19" fillId="0" borderId="0" xfId="139" applyNumberFormat="1" applyFont="1">
      <alignment/>
      <protection/>
    </xf>
    <xf numFmtId="49" fontId="4" fillId="47" borderId="0" xfId="139" applyNumberFormat="1" applyFont="1" applyFill="1" applyBorder="1" applyAlignment="1">
      <alignment horizontal="left"/>
      <protection/>
    </xf>
    <xf numFmtId="49" fontId="4" fillId="0" borderId="0" xfId="139" applyNumberFormat="1" applyFont="1" applyBorder="1" applyAlignment="1">
      <alignment horizontal="left"/>
      <protection/>
    </xf>
    <xf numFmtId="49" fontId="0" fillId="0" borderId="22" xfId="139" applyNumberFormat="1" applyFont="1" applyBorder="1" applyAlignment="1">
      <alignment/>
      <protection/>
    </xf>
    <xf numFmtId="49" fontId="6" fillId="0" borderId="20" xfId="139" applyNumberFormat="1" applyFont="1" applyFill="1" applyBorder="1" applyAlignment="1">
      <alignment horizontal="center" vertical="center" wrapText="1"/>
      <protection/>
    </xf>
    <xf numFmtId="49" fontId="5" fillId="0" borderId="24" xfId="139" applyNumberFormat="1" applyFont="1" applyFill="1" applyBorder="1">
      <alignment/>
      <protection/>
    </xf>
    <xf numFmtId="49" fontId="5" fillId="0" borderId="0" xfId="139" applyNumberFormat="1" applyFont="1" applyFill="1">
      <alignment/>
      <protection/>
    </xf>
    <xf numFmtId="49" fontId="24" fillId="0" borderId="0" xfId="139" applyNumberFormat="1" applyFont="1" applyFill="1">
      <alignment/>
      <protection/>
    </xf>
    <xf numFmtId="49" fontId="6" fillId="0" borderId="25" xfId="139" applyNumberFormat="1" applyFont="1" applyFill="1" applyBorder="1" applyAlignment="1">
      <alignment horizontal="center" vertical="center" wrapText="1"/>
      <protection/>
    </xf>
    <xf numFmtId="49" fontId="19" fillId="0" borderId="20" xfId="139" applyNumberFormat="1" applyFont="1" applyFill="1" applyBorder="1" applyAlignment="1">
      <alignment horizontal="center" vertical="center"/>
      <protection/>
    </xf>
    <xf numFmtId="49" fontId="19" fillId="0" borderId="20" xfId="139" applyNumberFormat="1" applyFont="1" applyBorder="1" applyAlignment="1">
      <alignment horizontal="center" vertical="center"/>
      <protection/>
    </xf>
    <xf numFmtId="49" fontId="5" fillId="0" borderId="0" xfId="139" applyNumberFormat="1" applyFont="1" applyAlignment="1">
      <alignment vertical="center"/>
      <protection/>
    </xf>
    <xf numFmtId="3" fontId="29" fillId="3" borderId="20" xfId="139" applyNumberFormat="1" applyFont="1" applyFill="1" applyBorder="1" applyAlignment="1">
      <alignment horizontal="center" vertical="center"/>
      <protection/>
    </xf>
    <xf numFmtId="3" fontId="68" fillId="3" borderId="20" xfId="139" applyNumberFormat="1" applyFont="1" applyFill="1" applyBorder="1" applyAlignment="1">
      <alignment horizontal="center" vertical="center"/>
      <protection/>
    </xf>
    <xf numFmtId="3" fontId="29" fillId="4" borderId="20" xfId="139" applyNumberFormat="1" applyFont="1" applyFill="1" applyBorder="1" applyAlignment="1">
      <alignment horizontal="center" vertical="center"/>
      <protection/>
    </xf>
    <xf numFmtId="3" fontId="6" fillId="44" borderId="20" xfId="139" applyNumberFormat="1" applyFont="1" applyFill="1" applyBorder="1" applyAlignment="1">
      <alignment horizontal="center" vertical="center"/>
      <protection/>
    </xf>
    <xf numFmtId="49" fontId="6" fillId="0" borderId="20" xfId="139" applyNumberFormat="1" applyFont="1" applyBorder="1" applyAlignment="1">
      <alignment horizontal="center" vertical="center"/>
      <protection/>
    </xf>
    <xf numFmtId="3" fontId="5" fillId="47" borderId="20" xfId="139" applyNumberFormat="1" applyFont="1" applyFill="1" applyBorder="1" applyAlignment="1">
      <alignment horizontal="center" vertical="center"/>
      <protection/>
    </xf>
    <xf numFmtId="49" fontId="6" fillId="0" borderId="23" xfId="139" applyNumberFormat="1" applyFont="1" applyBorder="1" applyAlignment="1">
      <alignment horizontal="center" vertical="center"/>
      <protection/>
    </xf>
    <xf numFmtId="49" fontId="5" fillId="0" borderId="23" xfId="139" applyNumberFormat="1" applyFont="1" applyBorder="1" applyAlignment="1">
      <alignment horizontal="center" vertical="center"/>
      <protection/>
    </xf>
    <xf numFmtId="3" fontId="5" fillId="0" borderId="20" xfId="139" applyNumberFormat="1" applyFont="1" applyBorder="1" applyAlignment="1">
      <alignment horizontal="center" vertical="center"/>
      <protection/>
    </xf>
    <xf numFmtId="49" fontId="86" fillId="0" borderId="0" xfId="139" applyNumberFormat="1" applyFont="1">
      <alignment/>
      <protection/>
    </xf>
    <xf numFmtId="49" fontId="26" fillId="0" borderId="0" xfId="139" applyNumberFormat="1">
      <alignment/>
      <protection/>
    </xf>
    <xf numFmtId="49" fontId="28" fillId="0" borderId="0" xfId="139" applyNumberFormat="1" applyFont="1" applyBorder="1" applyAlignment="1">
      <alignment wrapText="1"/>
      <protection/>
    </xf>
    <xf numFmtId="49" fontId="21" fillId="0" borderId="0" xfId="139" applyNumberFormat="1" applyFont="1">
      <alignment/>
      <protection/>
    </xf>
    <xf numFmtId="49" fontId="30" fillId="0" borderId="0" xfId="139" applyNumberFormat="1" applyFont="1">
      <alignment/>
      <protection/>
    </xf>
    <xf numFmtId="49" fontId="30" fillId="0" borderId="0" xfId="139" applyNumberFormat="1" applyFont="1" applyAlignment="1">
      <alignment horizontal="center"/>
      <protection/>
    </xf>
    <xf numFmtId="0" fontId="4" fillId="0" borderId="0" xfId="139" applyNumberFormat="1" applyFont="1" applyAlignment="1">
      <alignment horizontal="left"/>
      <protection/>
    </xf>
    <xf numFmtId="0" fontId="5" fillId="0" borderId="0" xfId="139" applyFont="1" applyAlignment="1">
      <alignment/>
      <protection/>
    </xf>
    <xf numFmtId="3" fontId="5" fillId="0" borderId="0" xfId="139" applyNumberFormat="1" applyFont="1">
      <alignment/>
      <protection/>
    </xf>
    <xf numFmtId="0" fontId="7" fillId="0" borderId="0" xfId="139" applyFont="1" applyBorder="1" applyAlignment="1">
      <alignment/>
      <protection/>
    </xf>
    <xf numFmtId="0" fontId="26" fillId="0" borderId="24" xfId="139" applyFont="1" applyBorder="1">
      <alignment/>
      <protection/>
    </xf>
    <xf numFmtId="0" fontId="26" fillId="0" borderId="0" xfId="139" applyFont="1" applyBorder="1">
      <alignment/>
      <protection/>
    </xf>
    <xf numFmtId="0" fontId="12" fillId="0" borderId="20" xfId="139" applyFont="1" applyBorder="1" applyAlignment="1">
      <alignment horizontal="center" vertical="center" wrapText="1"/>
      <protection/>
    </xf>
    <xf numFmtId="0" fontId="19" fillId="0" borderId="23" xfId="139" applyFont="1" applyFill="1" applyBorder="1" applyAlignment="1">
      <alignment horizontal="center" vertical="center"/>
      <protection/>
    </xf>
    <xf numFmtId="0" fontId="19" fillId="0" borderId="20" xfId="139" applyFont="1" applyFill="1" applyBorder="1" applyAlignment="1">
      <alignment horizontal="center" vertical="center"/>
      <protection/>
    </xf>
    <xf numFmtId="0" fontId="19" fillId="0" borderId="20" xfId="139" applyFont="1" applyBorder="1" applyAlignment="1">
      <alignment horizontal="center" vertical="center"/>
      <protection/>
    </xf>
    <xf numFmtId="3" fontId="20" fillId="3" borderId="20" xfId="139" applyNumberFormat="1" applyFont="1" applyFill="1" applyBorder="1" applyAlignment="1">
      <alignment horizontal="center" vertical="center"/>
      <protection/>
    </xf>
    <xf numFmtId="3" fontId="34" fillId="3" borderId="20" xfId="139" applyNumberFormat="1" applyFont="1" applyFill="1" applyBorder="1" applyAlignment="1">
      <alignment horizontal="center" vertical="center"/>
      <protection/>
    </xf>
    <xf numFmtId="3" fontId="3" fillId="44" borderId="23" xfId="139" applyNumberFormat="1" applyFont="1" applyFill="1" applyBorder="1" applyAlignment="1">
      <alignment horizontal="center" vertical="center"/>
      <protection/>
    </xf>
    <xf numFmtId="3" fontId="0" fillId="48" borderId="23" xfId="139" applyNumberFormat="1" applyFont="1" applyFill="1" applyBorder="1" applyAlignment="1">
      <alignment horizontal="center" vertical="center"/>
      <protection/>
    </xf>
    <xf numFmtId="3" fontId="0" fillId="0" borderId="20" xfId="139" applyNumberFormat="1" applyFont="1" applyBorder="1" applyAlignment="1">
      <alignment horizontal="center" vertical="center"/>
      <protection/>
    </xf>
    <xf numFmtId="3" fontId="0" fillId="0" borderId="26" xfId="139" applyNumberFormat="1" applyFont="1" applyBorder="1" applyAlignment="1">
      <alignment horizontal="center" vertical="center"/>
      <protection/>
    </xf>
    <xf numFmtId="0" fontId="6" fillId="0" borderId="23" xfId="139" applyFont="1" applyBorder="1" applyAlignment="1">
      <alignment horizontal="center" vertical="center"/>
      <protection/>
    </xf>
    <xf numFmtId="3" fontId="0" fillId="44" borderId="23" xfId="139" applyNumberFormat="1" applyFont="1" applyFill="1" applyBorder="1" applyAlignment="1">
      <alignment horizontal="center" vertical="center"/>
      <protection/>
    </xf>
    <xf numFmtId="3" fontId="0" fillId="47" borderId="20" xfId="139" applyNumberFormat="1" applyFont="1" applyFill="1" applyBorder="1" applyAlignment="1">
      <alignment horizontal="center" vertical="center"/>
      <protection/>
    </xf>
    <xf numFmtId="3" fontId="0" fillId="47" borderId="26" xfId="139" applyNumberFormat="1" applyFont="1" applyFill="1" applyBorder="1" applyAlignment="1">
      <alignment horizontal="center" vertical="center"/>
      <protection/>
    </xf>
    <xf numFmtId="0" fontId="28" fillId="0" borderId="0" xfId="139" applyNumberFormat="1" applyFont="1" applyBorder="1" applyAlignment="1">
      <alignment/>
      <protection/>
    </xf>
    <xf numFmtId="0" fontId="87" fillId="0" borderId="0" xfId="139" applyFont="1">
      <alignment/>
      <protection/>
    </xf>
    <xf numFmtId="0" fontId="16" fillId="0" borderId="0" xfId="139" applyFont="1">
      <alignment/>
      <protection/>
    </xf>
    <xf numFmtId="0" fontId="27" fillId="0" borderId="0" xfId="139" applyFont="1">
      <alignment/>
      <protection/>
    </xf>
    <xf numFmtId="0" fontId="13" fillId="0" borderId="0" xfId="139" applyFont="1">
      <alignment/>
      <protection/>
    </xf>
    <xf numFmtId="49" fontId="13" fillId="0" borderId="0" xfId="139" applyNumberFormat="1" applyFont="1">
      <alignment/>
      <protection/>
    </xf>
    <xf numFmtId="0" fontId="80" fillId="0" borderId="0" xfId="139" applyFont="1">
      <alignment/>
      <protection/>
    </xf>
    <xf numFmtId="49" fontId="18" fillId="0" borderId="0" xfId="139" applyNumberFormat="1" applyFont="1" applyBorder="1" applyAlignment="1">
      <alignment/>
      <protection/>
    </xf>
    <xf numFmtId="49" fontId="26" fillId="0" borderId="0" xfId="139" applyNumberFormat="1" applyFont="1" applyAlignment="1">
      <alignment horizontal="center"/>
      <protection/>
    </xf>
    <xf numFmtId="3" fontId="19" fillId="47" borderId="22" xfId="139" applyNumberFormat="1" applyFont="1" applyFill="1" applyBorder="1" applyAlignment="1">
      <alignment horizontal="center"/>
      <protection/>
    </xf>
    <xf numFmtId="49" fontId="5" fillId="0" borderId="22" xfId="139" applyNumberFormat="1" applyFont="1" applyBorder="1" applyAlignment="1">
      <alignment/>
      <protection/>
    </xf>
    <xf numFmtId="49" fontId="26" fillId="0" borderId="0" xfId="139" applyNumberFormat="1" applyFill="1">
      <alignment/>
      <protection/>
    </xf>
    <xf numFmtId="49" fontId="26" fillId="0" borderId="0" xfId="139" applyNumberFormat="1" applyFill="1" applyAlignment="1">
      <alignment vertical="center" wrapText="1"/>
      <protection/>
    </xf>
    <xf numFmtId="49" fontId="26" fillId="0" borderId="0" xfId="139" applyNumberFormat="1" applyAlignment="1">
      <alignment vertical="center"/>
      <protection/>
    </xf>
    <xf numFmtId="3" fontId="5" fillId="44" borderId="20" xfId="139" applyNumberFormat="1" applyFont="1" applyFill="1" applyBorder="1" applyAlignment="1">
      <alignment horizontal="center" vertical="center"/>
      <protection/>
    </xf>
    <xf numFmtId="3" fontId="26" fillId="0" borderId="20" xfId="139" applyNumberFormat="1" applyFont="1" applyBorder="1" applyAlignment="1">
      <alignment horizontal="center" vertical="center"/>
      <protection/>
    </xf>
    <xf numFmtId="0" fontId="5" fillId="0" borderId="20" xfId="139" applyFont="1" applyBorder="1" applyAlignment="1">
      <alignment horizontal="center" vertical="center"/>
      <protection/>
    </xf>
    <xf numFmtId="3" fontId="5" fillId="0" borderId="20" xfId="139" applyNumberFormat="1" applyFont="1" applyFill="1" applyBorder="1" applyAlignment="1">
      <alignment horizontal="center" vertical="center"/>
      <protection/>
    </xf>
    <xf numFmtId="3" fontId="26" fillId="0" borderId="20" xfId="139" applyNumberFormat="1" applyFont="1" applyFill="1" applyBorder="1" applyAlignment="1">
      <alignment horizontal="center" vertical="center"/>
      <protection/>
    </xf>
    <xf numFmtId="49" fontId="26" fillId="0" borderId="0" xfId="139" applyNumberFormat="1" applyAlignment="1">
      <alignment horizontal="center"/>
      <protection/>
    </xf>
    <xf numFmtId="49" fontId="71" fillId="0" borderId="0" xfId="139" applyNumberFormat="1" applyFont="1" applyAlignment="1">
      <alignment horizontal="left"/>
      <protection/>
    </xf>
    <xf numFmtId="49" fontId="30" fillId="0" borderId="0" xfId="139" applyNumberFormat="1" applyFont="1" applyAlignment="1">
      <alignment/>
      <protection/>
    </xf>
    <xf numFmtId="49" fontId="3" fillId="47" borderId="0" xfId="139" applyNumberFormat="1" applyFont="1" applyFill="1" applyBorder="1" applyAlignment="1">
      <alignment/>
      <protection/>
    </xf>
    <xf numFmtId="49" fontId="3" fillId="0" borderId="0" xfId="139" applyNumberFormat="1" applyFont="1" applyAlignment="1">
      <alignment/>
      <protection/>
    </xf>
    <xf numFmtId="49" fontId="3" fillId="0" borderId="0" xfId="139" applyNumberFormat="1" applyFont="1" applyBorder="1" applyAlignment="1">
      <alignment/>
      <protection/>
    </xf>
    <xf numFmtId="49" fontId="6" fillId="0" borderId="22" xfId="139" applyNumberFormat="1" applyFont="1" applyBorder="1" applyAlignment="1">
      <alignment/>
      <protection/>
    </xf>
    <xf numFmtId="3" fontId="19" fillId="0" borderId="20" xfId="139" applyNumberFormat="1" applyFont="1" applyBorder="1" applyAlignment="1">
      <alignment horizontal="center" vertical="center"/>
      <protection/>
    </xf>
    <xf numFmtId="49" fontId="26" fillId="47" borderId="0" xfId="139" applyNumberFormat="1" applyFont="1" applyFill="1" applyAlignment="1">
      <alignment vertical="center"/>
      <protection/>
    </xf>
    <xf numFmtId="3" fontId="26" fillId="47" borderId="20" xfId="139" applyNumberFormat="1" applyFont="1" applyFill="1" applyBorder="1" applyAlignment="1">
      <alignment horizontal="center" vertical="center"/>
      <protection/>
    </xf>
    <xf numFmtId="3" fontId="90" fillId="0" borderId="20" xfId="139" applyNumberFormat="1" applyFont="1" applyBorder="1" applyAlignment="1">
      <alignment horizontal="center" vertical="center"/>
      <protection/>
    </xf>
    <xf numFmtId="0" fontId="5" fillId="0" borderId="19" xfId="139" applyFont="1" applyFill="1" applyBorder="1" applyAlignment="1">
      <alignment horizontal="center" vertical="center"/>
      <protection/>
    </xf>
    <xf numFmtId="49" fontId="6" fillId="0" borderId="19" xfId="136" applyNumberFormat="1" applyFont="1" applyFill="1" applyBorder="1" applyAlignment="1">
      <alignment horizontal="left" vertical="center"/>
      <protection/>
    </xf>
    <xf numFmtId="3" fontId="5" fillId="0" borderId="19" xfId="139" applyNumberFormat="1" applyFont="1" applyFill="1" applyBorder="1" applyAlignment="1">
      <alignment horizontal="center" vertical="center"/>
      <protection/>
    </xf>
    <xf numFmtId="3" fontId="19" fillId="0" borderId="19" xfId="139" applyNumberFormat="1" applyFont="1" applyFill="1" applyBorder="1" applyAlignment="1">
      <alignment horizontal="center" vertical="center"/>
      <protection/>
    </xf>
    <xf numFmtId="3" fontId="26" fillId="0" borderId="19" xfId="139" applyNumberFormat="1" applyFont="1" applyFill="1" applyBorder="1" applyAlignment="1">
      <alignment vertical="center"/>
      <protection/>
    </xf>
    <xf numFmtId="3" fontId="91" fillId="0" borderId="19" xfId="139" applyNumberFormat="1" applyFont="1" applyFill="1" applyBorder="1" applyAlignment="1">
      <alignment vertical="center"/>
      <protection/>
    </xf>
    <xf numFmtId="49" fontId="30" fillId="0" borderId="0" xfId="139" applyNumberFormat="1" applyFont="1" applyBorder="1" applyAlignment="1">
      <alignment/>
      <protection/>
    </xf>
    <xf numFmtId="49" fontId="28" fillId="0" borderId="0" xfId="139" applyNumberFormat="1" applyFont="1" applyBorder="1" applyAlignment="1">
      <alignment horizontal="center"/>
      <protection/>
    </xf>
    <xf numFmtId="49" fontId="28" fillId="0" borderId="0" xfId="139" applyNumberFormat="1" applyFont="1" applyAlignment="1">
      <alignment/>
      <protection/>
    </xf>
    <xf numFmtId="0" fontId="5" fillId="47" borderId="0" xfId="139" applyFont="1" applyFill="1" applyBorder="1" applyAlignment="1">
      <alignment/>
      <protection/>
    </xf>
    <xf numFmtId="49" fontId="92" fillId="0" borderId="0" xfId="139" applyNumberFormat="1" applyFont="1">
      <alignment/>
      <protection/>
    </xf>
    <xf numFmtId="49" fontId="93" fillId="0" borderId="0" xfId="139" applyNumberFormat="1" applyFont="1">
      <alignment/>
      <protection/>
    </xf>
    <xf numFmtId="49" fontId="94" fillId="0" borderId="0" xfId="139" applyNumberFormat="1" applyFont="1" applyAlignment="1">
      <alignment horizontal="center"/>
      <protection/>
    </xf>
    <xf numFmtId="49" fontId="25" fillId="47" borderId="0" xfId="136" applyNumberFormat="1" applyFont="1" applyFill="1" applyAlignment="1">
      <alignment/>
      <protection/>
    </xf>
    <xf numFmtId="49" fontId="79" fillId="0" borderId="0" xfId="139" applyNumberFormat="1" applyFont="1">
      <alignment/>
      <protection/>
    </xf>
    <xf numFmtId="49" fontId="30" fillId="0" borderId="0" xfId="139" applyNumberFormat="1" applyFont="1" applyBorder="1" applyAlignment="1">
      <alignment wrapText="1"/>
      <protection/>
    </xf>
    <xf numFmtId="49" fontId="82" fillId="0" borderId="0" xfId="139" applyNumberFormat="1" applyFont="1">
      <alignment/>
      <protection/>
    </xf>
    <xf numFmtId="49" fontId="77" fillId="0" borderId="0" xfId="139" applyNumberFormat="1" applyFont="1">
      <alignment/>
      <protection/>
    </xf>
    <xf numFmtId="49" fontId="14" fillId="0" borderId="0" xfId="139" applyNumberFormat="1" applyFont="1" applyFill="1" applyAlignment="1">
      <alignment wrapText="1"/>
      <protection/>
    </xf>
    <xf numFmtId="49" fontId="0" fillId="0" borderId="0" xfId="139" applyNumberFormat="1" applyFont="1" applyFill="1" applyBorder="1" applyAlignment="1">
      <alignment/>
      <protection/>
    </xf>
    <xf numFmtId="49" fontId="3" fillId="0" borderId="0" xfId="139" applyNumberFormat="1" applyFont="1" applyFill="1" applyBorder="1" applyAlignment="1">
      <alignment/>
      <protection/>
    </xf>
    <xf numFmtId="49" fontId="95" fillId="0" borderId="0" xfId="139" applyNumberFormat="1" applyFont="1" applyFill="1">
      <alignment/>
      <protection/>
    </xf>
    <xf numFmtId="49" fontId="26" fillId="0" borderId="0" xfId="139" applyNumberFormat="1" applyFont="1" applyFill="1" applyAlignment="1">
      <alignment horizontal="center"/>
      <protection/>
    </xf>
    <xf numFmtId="49" fontId="19" fillId="0" borderId="0" xfId="139" applyNumberFormat="1" applyFont="1" applyFill="1" applyBorder="1" applyAlignment="1">
      <alignment/>
      <protection/>
    </xf>
    <xf numFmtId="49" fontId="6" fillId="0" borderId="0" xfId="139" applyNumberFormat="1" applyFont="1" applyFill="1" applyBorder="1" applyAlignment="1">
      <alignment/>
      <protection/>
    </xf>
    <xf numFmtId="49" fontId="81" fillId="0" borderId="0" xfId="139" applyNumberFormat="1" applyFont="1" applyFill="1">
      <alignment/>
      <protection/>
    </xf>
    <xf numFmtId="49" fontId="81" fillId="0" borderId="0" xfId="139" applyNumberFormat="1" applyFont="1" applyFill="1" applyAlignment="1">
      <alignment/>
      <protection/>
    </xf>
    <xf numFmtId="49" fontId="19" fillId="0" borderId="27" xfId="139" applyNumberFormat="1" applyFont="1" applyFill="1" applyBorder="1" applyAlignment="1">
      <alignment horizontal="center" vertical="center"/>
      <protection/>
    </xf>
    <xf numFmtId="3" fontId="6" fillId="44" borderId="27" xfId="139" applyNumberFormat="1" applyFont="1" applyFill="1" applyBorder="1" applyAlignment="1">
      <alignment horizontal="center" vertical="center"/>
      <protection/>
    </xf>
    <xf numFmtId="3" fontId="6" fillId="44" borderId="23" xfId="139" applyNumberFormat="1" applyFont="1" applyFill="1" applyBorder="1" applyAlignment="1">
      <alignment horizontal="center" vertical="center"/>
      <protection/>
    </xf>
    <xf numFmtId="49" fontId="3" fillId="0" borderId="0" xfId="139" applyNumberFormat="1" applyFont="1" applyAlignment="1">
      <alignment horizontal="center"/>
      <protection/>
    </xf>
    <xf numFmtId="49" fontId="25" fillId="0" borderId="0" xfId="139" applyNumberFormat="1" applyFont="1">
      <alignment/>
      <protection/>
    </xf>
    <xf numFmtId="49" fontId="3" fillId="0" borderId="0" xfId="139" applyNumberFormat="1" applyFont="1">
      <alignment/>
      <protection/>
    </xf>
    <xf numFmtId="49" fontId="28" fillId="0" borderId="0" xfId="139" applyNumberFormat="1" applyFont="1">
      <alignment/>
      <protection/>
    </xf>
    <xf numFmtId="3" fontId="3" fillId="47" borderId="0" xfId="139" applyNumberFormat="1" applyFont="1" applyFill="1" applyBorder="1" applyAlignment="1">
      <alignment/>
      <protection/>
    </xf>
    <xf numFmtId="0" fontId="3" fillId="0" borderId="0" xfId="139" applyFont="1">
      <alignment/>
      <protection/>
    </xf>
    <xf numFmtId="0" fontId="4" fillId="0" borderId="0" xfId="139" applyFont="1" applyBorder="1" applyAlignment="1">
      <alignment horizontal="left"/>
      <protection/>
    </xf>
    <xf numFmtId="3" fontId="0" fillId="0" borderId="0" xfId="139" applyNumberFormat="1" applyFont="1" applyAlignment="1">
      <alignment horizontal="left"/>
      <protection/>
    </xf>
    <xf numFmtId="0" fontId="13" fillId="0" borderId="0" xfId="139" applyFont="1" applyBorder="1" applyAlignment="1">
      <alignment/>
      <protection/>
    </xf>
    <xf numFmtId="0" fontId="7" fillId="0" borderId="20" xfId="139" applyFont="1" applyFill="1" applyBorder="1" applyAlignment="1">
      <alignment horizontal="center" vertical="center" wrapText="1"/>
      <protection/>
    </xf>
    <xf numFmtId="0" fontId="3" fillId="0" borderId="0" xfId="139" applyFont="1" applyFill="1" applyBorder="1">
      <alignment/>
      <protection/>
    </xf>
    <xf numFmtId="0" fontId="3" fillId="0" borderId="0" xfId="139" applyFont="1" applyFill="1">
      <alignment/>
      <protection/>
    </xf>
    <xf numFmtId="3" fontId="18" fillId="0" borderId="20" xfId="139" applyNumberFormat="1" applyFont="1" applyBorder="1" applyAlignment="1">
      <alignment horizontal="center" vertical="center"/>
      <protection/>
    </xf>
    <xf numFmtId="0" fontId="0" fillId="0" borderId="0" xfId="139" applyFont="1" applyAlignment="1">
      <alignment horizontal="center" vertical="center"/>
      <protection/>
    </xf>
    <xf numFmtId="3" fontId="4" fillId="44" borderId="20" xfId="139" applyNumberFormat="1" applyFont="1" applyFill="1" applyBorder="1" applyAlignment="1">
      <alignment horizontal="center" vertical="center"/>
      <protection/>
    </xf>
    <xf numFmtId="0" fontId="3" fillId="0" borderId="0" xfId="139" applyFont="1" applyAlignment="1">
      <alignment vertical="center"/>
      <protection/>
    </xf>
    <xf numFmtId="9" fontId="3" fillId="0" borderId="0" xfId="146" applyFont="1" applyAlignment="1">
      <alignment vertical="center"/>
    </xf>
    <xf numFmtId="0" fontId="3" fillId="0" borderId="0" xfId="139" applyFont="1" applyAlignment="1">
      <alignment horizontal="center"/>
      <protection/>
    </xf>
    <xf numFmtId="0" fontId="25" fillId="0" borderId="0" xfId="139" applyFont="1">
      <alignment/>
      <protection/>
    </xf>
    <xf numFmtId="0" fontId="71" fillId="0" borderId="0" xfId="139" applyFont="1" applyAlignment="1">
      <alignment horizontal="center"/>
      <protection/>
    </xf>
    <xf numFmtId="49" fontId="51" fillId="0" borderId="0" xfId="139" applyNumberFormat="1" applyFont="1">
      <alignment/>
      <protection/>
    </xf>
    <xf numFmtId="49" fontId="96" fillId="0" borderId="0" xfId="139" applyNumberFormat="1" applyFont="1" applyBorder="1" applyAlignment="1">
      <alignment wrapText="1"/>
      <protection/>
    </xf>
    <xf numFmtId="0" fontId="30" fillId="0" borderId="0" xfId="139"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5" applyNumberFormat="1" applyFont="1" applyFill="1" applyBorder="1" applyAlignment="1" applyProtection="1">
      <alignment horizontal="center" vertical="center"/>
      <protection/>
    </xf>
    <xf numFmtId="49" fontId="30" fillId="47" borderId="20" xfId="0" applyNumberFormat="1" applyFont="1" applyFill="1" applyBorder="1" applyAlignment="1">
      <alignment/>
    </xf>
    <xf numFmtId="3" fontId="30" fillId="47" borderId="20" xfId="13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1" fillId="47" borderId="20" xfId="0" applyNumberFormat="1" applyFont="1" applyFill="1" applyBorder="1" applyAlignment="1">
      <alignment/>
    </xf>
    <xf numFmtId="3" fontId="51" fillId="47" borderId="20" xfId="135" applyNumberFormat="1" applyFont="1" applyFill="1" applyBorder="1" applyAlignment="1" applyProtection="1">
      <alignment horizontal="center" vertical="center"/>
      <protection/>
    </xf>
    <xf numFmtId="10" fontId="28" fillId="0" borderId="20" xfId="131" applyNumberFormat="1" applyFont="1" applyFill="1" applyBorder="1" applyAlignment="1">
      <alignment horizontal="center" vertical="center"/>
      <protection/>
    </xf>
    <xf numFmtId="10" fontId="51"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6" fillId="47" borderId="20" xfId="0" applyNumberFormat="1" applyFont="1" applyFill="1" applyBorder="1" applyAlignment="1">
      <alignment/>
    </xf>
    <xf numFmtId="10" fontId="56" fillId="0" borderId="20" xfId="131" applyNumberFormat="1" applyFont="1" applyFill="1" applyBorder="1" applyAlignment="1">
      <alignment horizontal="center" vertical="center"/>
      <protection/>
    </xf>
    <xf numFmtId="3" fontId="56" fillId="47" borderId="20" xfId="135" applyNumberFormat="1" applyFont="1" applyFill="1" applyBorder="1" applyAlignment="1" applyProtection="1">
      <alignment horizontal="center" vertical="center"/>
      <protection/>
    </xf>
    <xf numFmtId="49" fontId="99" fillId="47" borderId="20" xfId="0" applyNumberFormat="1" applyFont="1" applyFill="1" applyBorder="1" applyAlignment="1">
      <alignment/>
    </xf>
    <xf numFmtId="49" fontId="56" fillId="47" borderId="35" xfId="0" applyNumberFormat="1" applyFont="1" applyFill="1" applyBorder="1" applyAlignment="1">
      <alignment/>
    </xf>
    <xf numFmtId="3" fontId="56" fillId="47" borderId="19" xfId="135" applyNumberFormat="1" applyFont="1" applyFill="1" applyBorder="1" applyAlignment="1" applyProtection="1">
      <alignment horizontal="center" vertical="center"/>
      <protection/>
    </xf>
    <xf numFmtId="10" fontId="56"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4" fillId="0" borderId="0" xfId="0" applyNumberFormat="1" applyFont="1" applyFill="1" applyBorder="1" applyAlignment="1">
      <alignment/>
    </xf>
    <xf numFmtId="49" fontId="100" fillId="0" borderId="0" xfId="0" applyNumberFormat="1" applyFont="1" applyFill="1" applyBorder="1" applyAlignment="1">
      <alignment/>
    </xf>
    <xf numFmtId="49" fontId="101"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13" fillId="0" borderId="38" xfId="0" applyNumberFormat="1" applyFont="1" applyFill="1" applyBorder="1" applyAlignment="1" applyProtection="1">
      <alignment horizontal="center" vertical="center"/>
      <protection/>
    </xf>
    <xf numFmtId="49" fontId="7" fillId="0" borderId="39" xfId="0" applyNumberFormat="1" applyFont="1" applyFill="1" applyBorder="1" applyAlignment="1" applyProtection="1">
      <alignment horizontal="center" vertical="center"/>
      <protection/>
    </xf>
    <xf numFmtId="49" fontId="7" fillId="0" borderId="20" xfId="135" applyNumberFormat="1" applyFont="1" applyFill="1" applyBorder="1" applyAlignment="1">
      <alignment vertical="center" wrapText="1"/>
      <protection/>
    </xf>
    <xf numFmtId="49" fontId="2" fillId="0" borderId="0" xfId="0" applyNumberFormat="1" applyFont="1" applyFill="1" applyBorder="1" applyAlignment="1">
      <alignment/>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40"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20" fillId="49" borderId="20" xfId="0" applyFont="1" applyFill="1" applyBorder="1" applyAlignment="1">
      <alignment/>
    </xf>
    <xf numFmtId="194" fontId="5" fillId="0" borderId="20" xfId="93" applyNumberFormat="1" applyFont="1" applyFill="1" applyBorder="1" applyAlignment="1" applyProtection="1">
      <alignment horizontal="right" vertical="center" wrapText="1"/>
      <protection/>
    </xf>
    <xf numFmtId="3" fontId="4" fillId="0" borderId="20" xfId="135" applyNumberFormat="1" applyFont="1" applyFill="1" applyBorder="1" applyAlignment="1" applyProtection="1">
      <alignment horizontal="right" vertical="center"/>
      <protection/>
    </xf>
    <xf numFmtId="49" fontId="4" fillId="0" borderId="39" xfId="0" applyNumberFormat="1" applyFont="1" applyFill="1" applyBorder="1" applyAlignment="1" applyProtection="1">
      <alignment horizontal="center" vertical="center"/>
      <protection/>
    </xf>
    <xf numFmtId="49" fontId="24" fillId="0" borderId="0" xfId="0" applyNumberFormat="1" applyFont="1" applyFill="1" applyAlignment="1">
      <alignment/>
    </xf>
    <xf numFmtId="49" fontId="24" fillId="0" borderId="0" xfId="0" applyNumberFormat="1" applyFont="1" applyFill="1" applyAlignment="1">
      <alignment/>
    </xf>
    <xf numFmtId="49" fontId="24" fillId="0" borderId="0" xfId="0" applyNumberFormat="1" applyFont="1" applyFill="1" applyBorder="1" applyAlignment="1">
      <alignment/>
    </xf>
    <xf numFmtId="49" fontId="102" fillId="0" borderId="0" xfId="0" applyNumberFormat="1" applyFont="1" applyFill="1" applyAlignment="1">
      <alignment/>
    </xf>
    <xf numFmtId="49" fontId="24" fillId="0" borderId="0" xfId="0" applyNumberFormat="1" applyFont="1" applyFill="1" applyAlignment="1">
      <alignment horizontal="center"/>
    </xf>
    <xf numFmtId="49" fontId="12" fillId="0" borderId="0" xfId="0" applyNumberFormat="1" applyFont="1" applyFill="1" applyAlignment="1">
      <alignment/>
    </xf>
    <xf numFmtId="49" fontId="24" fillId="0" borderId="0" xfId="0" applyNumberFormat="1" applyFont="1" applyFill="1" applyAlignment="1">
      <alignment horizontal="right"/>
    </xf>
    <xf numFmtId="49" fontId="24" fillId="0" borderId="20" xfId="0" applyNumberFormat="1" applyFont="1" applyFill="1" applyBorder="1" applyAlignment="1" applyProtection="1">
      <alignment horizontal="center" vertical="center" wrapText="1"/>
      <protection/>
    </xf>
    <xf numFmtId="49" fontId="24" fillId="0" borderId="20" xfId="0" applyNumberFormat="1" applyFont="1" applyFill="1" applyBorder="1" applyAlignment="1">
      <alignment horizontal="center" vertical="center" wrapText="1"/>
    </xf>
    <xf numFmtId="49" fontId="102" fillId="0" borderId="20" xfId="0" applyNumberFormat="1" applyFont="1" applyFill="1" applyBorder="1" applyAlignment="1" applyProtection="1">
      <alignment horizontal="center" vertical="center"/>
      <protection/>
    </xf>
    <xf numFmtId="49" fontId="102" fillId="0" borderId="38" xfId="0" applyNumberFormat="1" applyFont="1" applyFill="1" applyBorder="1" applyAlignment="1" applyProtection="1">
      <alignment horizontal="center" vertical="center"/>
      <protection/>
    </xf>
    <xf numFmtId="194" fontId="24" fillId="0" borderId="20" xfId="93" applyNumberFormat="1" applyFont="1" applyFill="1" applyBorder="1" applyAlignment="1" applyProtection="1">
      <alignment horizontal="center" vertical="center"/>
      <protection locked="0"/>
    </xf>
    <xf numFmtId="194" fontId="24" fillId="0" borderId="20" xfId="93" applyNumberFormat="1" applyFont="1" applyFill="1" applyBorder="1" applyAlignment="1" applyProtection="1">
      <alignment vertical="center"/>
      <protection/>
    </xf>
    <xf numFmtId="194" fontId="24" fillId="0" borderId="20" xfId="93" applyNumberFormat="1" applyFont="1" applyFill="1" applyBorder="1" applyAlignment="1" applyProtection="1">
      <alignment horizontal="right" vertical="center"/>
      <protection/>
    </xf>
    <xf numFmtId="0" fontId="24" fillId="0" borderId="41" xfId="135" applyNumberFormat="1" applyFont="1" applyFill="1" applyBorder="1" applyAlignment="1" applyProtection="1">
      <alignment horizontal="center" vertical="center"/>
      <protection/>
    </xf>
    <xf numFmtId="0" fontId="24" fillId="0" borderId="0" xfId="0" applyNumberFormat="1" applyFont="1" applyFill="1" applyBorder="1" applyAlignment="1">
      <alignment horizontal="center" wrapText="1"/>
    </xf>
    <xf numFmtId="0" fontId="12" fillId="0" borderId="0" xfId="0" applyNumberFormat="1" applyFont="1" applyFill="1" applyBorder="1" applyAlignment="1">
      <alignment/>
    </xf>
    <xf numFmtId="0" fontId="12" fillId="0" borderId="0" xfId="0" applyNumberFormat="1" applyFont="1" applyFill="1" applyBorder="1" applyAlignment="1">
      <alignment horizontal="center" wrapText="1"/>
    </xf>
    <xf numFmtId="0" fontId="20" fillId="49" borderId="20" xfId="0" applyFont="1" applyFill="1" applyBorder="1" applyAlignment="1">
      <alignment/>
    </xf>
    <xf numFmtId="0" fontId="0" fillId="49" borderId="40" xfId="0" applyFill="1" applyBorder="1" applyAlignment="1">
      <alignment/>
    </xf>
    <xf numFmtId="3" fontId="5" fillId="0" borderId="20" xfId="135" applyNumberFormat="1" applyFont="1" applyFill="1" applyBorder="1" applyAlignment="1" applyProtection="1">
      <alignment horizontal="right" vertical="center"/>
      <protection/>
    </xf>
    <xf numFmtId="194" fontId="104" fillId="0" borderId="20" xfId="93" applyNumberFormat="1" applyFont="1" applyFill="1" applyBorder="1" applyAlignment="1" applyProtection="1">
      <alignment vertical="center"/>
      <protection/>
    </xf>
    <xf numFmtId="194" fontId="12" fillId="0" borderId="20" xfId="93" applyNumberFormat="1" applyFont="1" applyFill="1" applyBorder="1" applyAlignment="1" applyProtection="1">
      <alignment horizontal="center" vertical="center"/>
      <protection locked="0"/>
    </xf>
    <xf numFmtId="3" fontId="24" fillId="0" borderId="20" xfId="0" applyNumberFormat="1" applyFont="1" applyFill="1" applyBorder="1" applyAlignment="1" applyProtection="1">
      <alignment horizontal="right" vertical="center"/>
      <protection/>
    </xf>
    <xf numFmtId="9" fontId="24" fillId="0" borderId="20" xfId="146" applyNumberFormat="1" applyFont="1" applyFill="1" applyBorder="1" applyAlignment="1" applyProtection="1">
      <alignment vertical="center"/>
      <protection/>
    </xf>
    <xf numFmtId="49" fontId="5" fillId="0" borderId="21" xfId="0" applyNumberFormat="1" applyFont="1" applyFill="1" applyBorder="1" applyAlignment="1" applyProtection="1">
      <alignment vertical="center"/>
      <protection locked="0"/>
    </xf>
    <xf numFmtId="49" fontId="5" fillId="0" borderId="20" xfId="0" applyNumberFormat="1" applyFont="1" applyFill="1" applyBorder="1" applyAlignment="1" applyProtection="1">
      <alignment vertical="center"/>
      <protection locked="0"/>
    </xf>
    <xf numFmtId="49" fontId="24" fillId="0" borderId="20" xfId="0" applyNumberFormat="1" applyFont="1" applyFill="1" applyBorder="1" applyAlignment="1" applyProtection="1">
      <alignment vertical="center"/>
      <protection locked="0"/>
    </xf>
    <xf numFmtId="3" fontId="24" fillId="0" borderId="20" xfId="0" applyNumberFormat="1" applyFont="1" applyFill="1" applyBorder="1" applyAlignment="1" applyProtection="1">
      <alignment vertical="center"/>
      <protection locked="0"/>
    </xf>
    <xf numFmtId="49" fontId="24" fillId="0" borderId="21" xfId="0" applyNumberFormat="1" applyFont="1" applyFill="1" applyBorder="1" applyAlignment="1" applyProtection="1">
      <alignment vertical="center"/>
      <protection locked="0"/>
    </xf>
    <xf numFmtId="49" fontId="24" fillId="0" borderId="20" xfId="137" applyNumberFormat="1" applyFont="1" applyFill="1" applyBorder="1" applyAlignment="1" applyProtection="1">
      <alignment vertical="center"/>
      <protection locked="0"/>
    </xf>
    <xf numFmtId="3" fontId="24" fillId="0" borderId="20" xfId="135" applyNumberFormat="1" applyFont="1" applyFill="1" applyBorder="1" applyAlignment="1" applyProtection="1">
      <alignment horizontal="right" vertical="center"/>
      <protection/>
    </xf>
    <xf numFmtId="3" fontId="24" fillId="0" borderId="20" xfId="0" applyNumberFormat="1" applyFont="1" applyFill="1" applyBorder="1" applyAlignment="1" applyProtection="1">
      <alignment horizontal="center" vertical="center"/>
      <protection locked="0"/>
    </xf>
    <xf numFmtId="49" fontId="24" fillId="0" borderId="20" xfId="0" applyNumberFormat="1" applyFont="1" applyFill="1" applyBorder="1" applyAlignment="1" applyProtection="1">
      <alignment horizontal="left" vertical="center"/>
      <protection locked="0"/>
    </xf>
    <xf numFmtId="49" fontId="24" fillId="0" borderId="20" xfId="0" applyNumberFormat="1" applyFont="1" applyFill="1" applyBorder="1" applyAlignment="1" applyProtection="1">
      <alignment vertical="center"/>
      <protection locked="0"/>
    </xf>
    <xf numFmtId="3" fontId="105" fillId="0" borderId="20" xfId="0" applyNumberFormat="1" applyFont="1" applyFill="1" applyBorder="1" applyAlignment="1" applyProtection="1">
      <alignment horizontal="right" vertical="center"/>
      <protection/>
    </xf>
    <xf numFmtId="0" fontId="24" fillId="0" borderId="20" xfId="0" applyFont="1" applyFill="1" applyBorder="1" applyAlignment="1" applyProtection="1">
      <alignment vertical="center"/>
      <protection locked="0"/>
    </xf>
    <xf numFmtId="3" fontId="105" fillId="0" borderId="20" xfId="0" applyNumberFormat="1" applyFont="1" applyFill="1" applyBorder="1" applyAlignment="1" applyProtection="1">
      <alignment horizontal="right" vertical="center"/>
      <protection locked="0"/>
    </xf>
    <xf numFmtId="0" fontId="5" fillId="0" borderId="20" xfId="0" applyFont="1" applyFill="1" applyBorder="1" applyAlignment="1" applyProtection="1">
      <alignment vertical="center"/>
      <protection locked="0"/>
    </xf>
    <xf numFmtId="3" fontId="7" fillId="0" borderId="20" xfId="135" applyNumberFormat="1" applyFont="1" applyFill="1" applyBorder="1" applyAlignment="1" applyProtection="1">
      <alignment horizontal="right" vertical="center"/>
      <protection/>
    </xf>
    <xf numFmtId="49" fontId="5" fillId="0" borderId="20" xfId="137" applyNumberFormat="1" applyFont="1" applyFill="1" applyBorder="1" applyAlignment="1" applyProtection="1">
      <alignment vertical="center"/>
      <protection locked="0"/>
    </xf>
    <xf numFmtId="213" fontId="5" fillId="0" borderId="20" xfId="0" applyNumberFormat="1" applyFont="1" applyFill="1" applyBorder="1" applyAlignment="1" applyProtection="1">
      <alignment horizontal="right" vertical="center"/>
      <protection locked="0"/>
    </xf>
    <xf numFmtId="213" fontId="8" fillId="0" borderId="20" xfId="0" applyNumberFormat="1" applyFont="1" applyFill="1" applyBorder="1" applyAlignment="1" applyProtection="1">
      <alignment horizontal="right" vertical="center"/>
      <protection locked="0"/>
    </xf>
    <xf numFmtId="49" fontId="5" fillId="0" borderId="20"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vertical="center"/>
      <protection locked="0"/>
    </xf>
    <xf numFmtId="49" fontId="5" fillId="0" borderId="20" xfId="0" applyNumberFormat="1" applyFont="1" applyFill="1" applyBorder="1" applyAlignment="1" applyProtection="1">
      <alignment horizontal="left" vertical="center"/>
      <protection locked="0"/>
    </xf>
    <xf numFmtId="3" fontId="4" fillId="0" borderId="20" xfId="0" applyNumberFormat="1" applyFont="1" applyFill="1" applyBorder="1" applyAlignment="1" applyProtection="1">
      <alignment horizontal="right" vertical="center"/>
      <protection/>
    </xf>
    <xf numFmtId="0" fontId="103" fillId="0" borderId="20" xfId="0" applyNumberFormat="1" applyFont="1" applyFill="1" applyBorder="1" applyAlignment="1" applyProtection="1">
      <alignment horizontal="right" vertical="center"/>
      <protection/>
    </xf>
    <xf numFmtId="3" fontId="24" fillId="47" borderId="20" xfId="0" applyNumberFormat="1" applyFont="1" applyFill="1" applyBorder="1" applyAlignment="1" applyProtection="1">
      <alignment horizontal="right" vertical="center"/>
      <protection/>
    </xf>
    <xf numFmtId="3" fontId="24" fillId="47" borderId="21" xfId="0" applyNumberFormat="1" applyFont="1" applyFill="1" applyBorder="1" applyAlignment="1" applyProtection="1">
      <alignment horizontal="right" vertical="center"/>
      <protection/>
    </xf>
    <xf numFmtId="3" fontId="24" fillId="47" borderId="20" xfId="146" applyNumberFormat="1" applyFont="1" applyFill="1" applyBorder="1" applyAlignment="1" applyProtection="1">
      <alignment horizontal="right" vertical="center"/>
      <protection/>
    </xf>
    <xf numFmtId="3" fontId="24" fillId="47" borderId="20" xfId="0" applyNumberFormat="1" applyFont="1" applyFill="1" applyBorder="1" applyAlignment="1">
      <alignment horizontal="right"/>
    </xf>
    <xf numFmtId="213" fontId="5" fillId="47" borderId="20" xfId="0" applyNumberFormat="1" applyFont="1" applyFill="1" applyBorder="1" applyAlignment="1" applyProtection="1">
      <alignment horizontal="right" vertical="center"/>
      <protection locked="0"/>
    </xf>
    <xf numFmtId="213" fontId="5" fillId="47" borderId="20" xfId="147" applyNumberFormat="1" applyFont="1" applyFill="1" applyBorder="1" applyAlignment="1" applyProtection="1">
      <alignment horizontal="right" vertical="center"/>
      <protection locked="0"/>
    </xf>
    <xf numFmtId="3" fontId="5" fillId="47" borderId="20" xfId="0" applyNumberFormat="1" applyFont="1" applyFill="1" applyBorder="1" applyAlignment="1" applyProtection="1">
      <alignment horizontal="right" vertical="center"/>
      <protection/>
    </xf>
    <xf numFmtId="3" fontId="107" fillId="47" borderId="20" xfId="0" applyNumberFormat="1" applyFont="1" applyFill="1" applyBorder="1" applyAlignment="1" applyProtection="1">
      <alignment horizontal="right" vertical="center"/>
      <protection/>
    </xf>
    <xf numFmtId="3" fontId="24" fillId="47" borderId="20" xfId="0" applyNumberFormat="1" applyFont="1" applyFill="1" applyBorder="1" applyAlignment="1" applyProtection="1">
      <alignment horizontal="right" vertical="center"/>
      <protection locked="0"/>
    </xf>
    <xf numFmtId="3" fontId="108" fillId="47" borderId="20" xfId="0" applyNumberFormat="1" applyFont="1" applyFill="1" applyBorder="1" applyAlignment="1" applyProtection="1">
      <alignment horizontal="right" vertical="center"/>
      <protection/>
    </xf>
    <xf numFmtId="210" fontId="5" fillId="0" borderId="20" xfId="0" applyNumberFormat="1" applyFont="1" applyFill="1" applyBorder="1" applyAlignment="1" applyProtection="1">
      <alignment horizontal="right" vertical="center"/>
      <protection locked="0"/>
    </xf>
    <xf numFmtId="213" fontId="5" fillId="0" borderId="20" xfId="0" applyNumberFormat="1" applyFont="1" applyFill="1" applyBorder="1" applyAlignment="1" applyProtection="1">
      <alignment horizontal="right" vertical="center"/>
      <protection locked="0"/>
    </xf>
    <xf numFmtId="3" fontId="5" fillId="0" borderId="20" xfId="0" applyNumberFormat="1" applyFont="1" applyFill="1" applyBorder="1" applyAlignment="1" applyProtection="1">
      <alignment horizontal="right" vertical="center"/>
      <protection/>
    </xf>
    <xf numFmtId="3" fontId="5" fillId="0" borderId="20" xfId="146" applyNumberFormat="1" applyFont="1" applyFill="1" applyBorder="1" applyAlignment="1" applyProtection="1">
      <alignment horizontal="right" vertical="center"/>
      <protection/>
    </xf>
    <xf numFmtId="3" fontId="8" fillId="0" borderId="20" xfId="135" applyNumberFormat="1" applyFont="1" applyFill="1" applyBorder="1" applyAlignment="1" applyProtection="1">
      <alignment horizontal="right" vertical="center"/>
      <protection/>
    </xf>
    <xf numFmtId="3" fontId="24" fillId="0" borderId="20" xfId="0" applyNumberFormat="1" applyFont="1" applyFill="1" applyBorder="1" applyAlignment="1" applyProtection="1">
      <alignment horizontal="right" vertical="center"/>
      <protection locked="0"/>
    </xf>
    <xf numFmtId="3" fontId="24" fillId="0" borderId="20" xfId="146" applyNumberFormat="1" applyFont="1" applyFill="1" applyBorder="1" applyAlignment="1" applyProtection="1">
      <alignment horizontal="right" vertical="center"/>
      <protection/>
    </xf>
    <xf numFmtId="3" fontId="5" fillId="0" borderId="20" xfId="135" applyNumberFormat="1" applyFont="1" applyFill="1" applyBorder="1" applyAlignment="1" applyProtection="1">
      <alignment horizontal="right" vertical="center"/>
      <protection/>
    </xf>
    <xf numFmtId="194" fontId="0" fillId="0" borderId="0" xfId="93" applyNumberFormat="1" applyFont="1" applyFill="1" applyBorder="1" applyAlignment="1" applyProtection="1">
      <alignment vertical="center"/>
      <protection/>
    </xf>
    <xf numFmtId="213" fontId="5" fillId="47" borderId="20" xfId="0" applyNumberFormat="1" applyFont="1" applyFill="1" applyBorder="1" applyAlignment="1" applyProtection="1">
      <alignment horizontal="right" vertical="center"/>
      <protection locked="0"/>
    </xf>
    <xf numFmtId="3" fontId="5" fillId="47" borderId="20" xfId="146" applyNumberFormat="1" applyFont="1" applyFill="1" applyBorder="1" applyAlignment="1" applyProtection="1">
      <alignment horizontal="right" vertical="center"/>
      <protection/>
    </xf>
    <xf numFmtId="3" fontId="5" fillId="47" borderId="20" xfId="0" applyNumberFormat="1" applyFont="1" applyFill="1" applyBorder="1" applyAlignment="1">
      <alignment horizontal="right"/>
    </xf>
    <xf numFmtId="210" fontId="24" fillId="47" borderId="20" xfId="0" applyNumberFormat="1" applyFont="1" applyFill="1" applyBorder="1" applyAlignment="1" applyProtection="1">
      <alignment horizontal="right" vertical="center"/>
      <protection locked="0"/>
    </xf>
    <xf numFmtId="3" fontId="24" fillId="47" borderId="20" xfId="0" applyNumberFormat="1" applyFont="1" applyFill="1" applyBorder="1" applyAlignment="1">
      <alignment horizontal="right" vertical="center"/>
    </xf>
    <xf numFmtId="9" fontId="5" fillId="0" borderId="20" xfId="93" applyNumberFormat="1" applyFont="1" applyFill="1" applyBorder="1" applyAlignment="1" applyProtection="1">
      <alignment horizontal="right" vertical="center" wrapText="1"/>
      <protection/>
    </xf>
    <xf numFmtId="194" fontId="6" fillId="2" borderId="26" xfId="93" applyNumberFormat="1" applyFont="1" applyFill="1" applyBorder="1" applyAlignment="1" applyProtection="1">
      <alignment horizontal="left" vertical="center" wrapText="1"/>
      <protection locked="0"/>
    </xf>
    <xf numFmtId="194" fontId="6" fillId="2" borderId="20" xfId="93" applyNumberFormat="1" applyFont="1" applyFill="1" applyBorder="1" applyAlignment="1" applyProtection="1">
      <alignment horizontal="right" vertical="center" wrapText="1"/>
      <protection/>
    </xf>
    <xf numFmtId="194" fontId="6" fillId="2" borderId="20" xfId="93" applyNumberFormat="1" applyFont="1" applyFill="1" applyBorder="1" applyAlignment="1" applyProtection="1">
      <alignment vertical="center" wrapText="1"/>
      <protection/>
    </xf>
    <xf numFmtId="9" fontId="6" fillId="2" borderId="20" xfId="93" applyNumberFormat="1" applyFont="1" applyFill="1" applyBorder="1" applyAlignment="1" applyProtection="1">
      <alignment horizontal="right" vertical="center" wrapText="1"/>
      <protection/>
    </xf>
    <xf numFmtId="194" fontId="6" fillId="2" borderId="26" xfId="93" applyNumberFormat="1" applyFont="1" applyFill="1" applyBorder="1" applyAlignment="1" applyProtection="1">
      <alignment vertical="center" wrapText="1"/>
      <protection locked="0"/>
    </xf>
    <xf numFmtId="194" fontId="12" fillId="2" borderId="20" xfId="93" applyNumberFormat="1" applyFont="1" applyFill="1" applyBorder="1" applyAlignment="1" applyProtection="1">
      <alignment horizontal="right" vertical="center" wrapText="1"/>
      <protection/>
    </xf>
    <xf numFmtId="194" fontId="6" fillId="2" borderId="20" xfId="93" applyNumberFormat="1" applyFont="1" applyFill="1" applyBorder="1" applyAlignment="1" applyProtection="1">
      <alignment vertical="center" wrapText="1"/>
      <protection/>
    </xf>
    <xf numFmtId="3" fontId="7" fillId="2" borderId="20" xfId="135" applyNumberFormat="1" applyFont="1" applyFill="1" applyBorder="1" applyAlignment="1" applyProtection="1">
      <alignment horizontal="right" vertical="center"/>
      <protection/>
    </xf>
    <xf numFmtId="194" fontId="12" fillId="2" borderId="20" xfId="93" applyNumberFormat="1" applyFont="1" applyFill="1" applyBorder="1" applyAlignment="1" applyProtection="1">
      <alignment vertical="center" wrapText="1"/>
      <protection/>
    </xf>
    <xf numFmtId="49" fontId="7" fillId="2" borderId="20" xfId="135" applyNumberFormat="1" applyFont="1" applyFill="1" applyBorder="1" applyAlignment="1">
      <alignment vertical="center" wrapText="1"/>
      <protection/>
    </xf>
    <xf numFmtId="49" fontId="7" fillId="2" borderId="20" xfId="0" applyNumberFormat="1" applyFont="1" applyFill="1" applyBorder="1" applyAlignment="1" applyProtection="1">
      <alignment vertical="center"/>
      <protection/>
    </xf>
    <xf numFmtId="194" fontId="6" fillId="35" borderId="20" xfId="93" applyNumberFormat="1" applyFont="1" applyFill="1" applyBorder="1" applyAlignment="1" applyProtection="1">
      <alignment horizontal="right" vertical="center" wrapText="1"/>
      <protection/>
    </xf>
    <xf numFmtId="9" fontId="6" fillId="35" borderId="20" xfId="93" applyNumberFormat="1" applyFont="1" applyFill="1" applyBorder="1" applyAlignment="1" applyProtection="1">
      <alignment horizontal="right" vertical="center" wrapText="1"/>
      <protection/>
    </xf>
    <xf numFmtId="194" fontId="12" fillId="35" borderId="20" xfId="93" applyNumberFormat="1" applyFont="1" applyFill="1" applyBorder="1" applyAlignment="1" applyProtection="1">
      <alignment vertical="center"/>
      <protection/>
    </xf>
    <xf numFmtId="9" fontId="12" fillId="35" borderId="20" xfId="146" applyNumberFormat="1" applyFont="1" applyFill="1" applyBorder="1" applyAlignment="1" applyProtection="1">
      <alignment vertical="center"/>
      <protection/>
    </xf>
    <xf numFmtId="194" fontId="12" fillId="44" borderId="26" xfId="93" applyNumberFormat="1" applyFont="1" applyFill="1" applyBorder="1" applyAlignment="1" applyProtection="1">
      <alignment horizontal="left" vertical="center" wrapText="1"/>
      <protection locked="0"/>
    </xf>
    <xf numFmtId="194" fontId="12" fillId="44" borderId="20" xfId="93" applyNumberFormat="1" applyFont="1" applyFill="1" applyBorder="1" applyAlignment="1" applyProtection="1">
      <alignment vertical="center"/>
      <protection/>
    </xf>
    <xf numFmtId="9" fontId="12" fillId="44" borderId="20" xfId="146" applyNumberFormat="1" applyFont="1" applyFill="1" applyBorder="1" applyAlignment="1" applyProtection="1">
      <alignment vertical="center"/>
      <protection/>
    </xf>
    <xf numFmtId="194" fontId="12" fillId="44" borderId="20" xfId="93" applyNumberFormat="1" applyFont="1" applyFill="1" applyBorder="1" applyAlignment="1" applyProtection="1">
      <alignment horizontal="center" vertical="center"/>
      <protection locked="0"/>
    </xf>
    <xf numFmtId="194" fontId="106" fillId="44" borderId="20" xfId="93" applyNumberFormat="1" applyFont="1" applyFill="1" applyBorder="1" applyAlignment="1" applyProtection="1">
      <alignment vertical="center"/>
      <protection/>
    </xf>
    <xf numFmtId="194" fontId="106" fillId="44" borderId="20" xfId="93" applyNumberFormat="1" applyFont="1" applyFill="1" applyBorder="1" applyAlignment="1" applyProtection="1">
      <alignment horizontal="right" vertical="center"/>
      <protection/>
    </xf>
    <xf numFmtId="9" fontId="106" fillId="44" borderId="20" xfId="146" applyNumberFormat="1" applyFont="1" applyFill="1" applyBorder="1" applyAlignment="1" applyProtection="1">
      <alignment vertical="center"/>
      <protection/>
    </xf>
    <xf numFmtId="194" fontId="12" fillId="44" borderId="20" xfId="93" applyNumberFormat="1" applyFont="1" applyFill="1" applyBorder="1" applyAlignment="1" applyProtection="1">
      <alignment horizontal="right" vertical="center"/>
      <protection/>
    </xf>
    <xf numFmtId="3" fontId="109" fillId="44" borderId="20" xfId="0" applyNumberFormat="1" applyFont="1" applyFill="1" applyBorder="1" applyAlignment="1" applyProtection="1">
      <alignment horizontal="right" vertical="center"/>
      <protection/>
    </xf>
    <xf numFmtId="3" fontId="1" fillId="47" borderId="20" xfId="0" applyNumberFormat="1" applyFont="1" applyFill="1" applyBorder="1" applyAlignment="1" applyProtection="1">
      <alignment horizontal="right" vertical="center"/>
      <protection/>
    </xf>
    <xf numFmtId="3" fontId="1" fillId="47" borderId="20" xfId="146" applyNumberFormat="1" applyFont="1" applyFill="1" applyBorder="1" applyAlignment="1" applyProtection="1">
      <alignment horizontal="right" vertical="center"/>
      <protection/>
    </xf>
    <xf numFmtId="213" fontId="6" fillId="44" borderId="20" xfId="0" applyNumberFormat="1" applyFont="1" applyFill="1" applyBorder="1" applyAlignment="1" applyProtection="1">
      <alignment horizontal="right"/>
      <protection/>
    </xf>
    <xf numFmtId="0" fontId="107" fillId="47" borderId="20" xfId="0" applyFont="1" applyFill="1" applyBorder="1" applyAlignment="1" applyProtection="1">
      <alignment vertical="center"/>
      <protection locked="0"/>
    </xf>
    <xf numFmtId="0" fontId="5" fillId="47" borderId="20" xfId="0" applyFont="1" applyFill="1" applyBorder="1" applyAlignment="1" applyProtection="1">
      <alignment vertical="center"/>
      <protection locked="0"/>
    </xf>
    <xf numFmtId="0" fontId="5" fillId="47" borderId="26" xfId="0" applyFont="1" applyFill="1" applyBorder="1" applyAlignment="1" applyProtection="1">
      <alignment vertical="center"/>
      <protection locked="0"/>
    </xf>
    <xf numFmtId="210" fontId="24" fillId="0" borderId="20" xfId="0" applyNumberFormat="1" applyFont="1" applyFill="1" applyBorder="1" applyAlignment="1" applyProtection="1">
      <alignment horizontal="right" vertical="center"/>
      <protection locked="0"/>
    </xf>
    <xf numFmtId="3" fontId="5" fillId="47" borderId="21" xfId="0" applyNumberFormat="1" applyFont="1" applyFill="1" applyBorder="1" applyAlignment="1" applyProtection="1">
      <alignment horizontal="right" vertical="center"/>
      <protection/>
    </xf>
    <xf numFmtId="3" fontId="24" fillId="47" borderId="20" xfId="0" applyNumberFormat="1" applyFont="1" applyFill="1" applyBorder="1" applyAlignment="1" applyProtection="1">
      <alignment horizontal="center" vertical="center"/>
      <protection/>
    </xf>
    <xf numFmtId="3" fontId="24" fillId="47" borderId="21" xfId="0" applyNumberFormat="1" applyFont="1" applyFill="1" applyBorder="1" applyAlignment="1" applyProtection="1">
      <alignment horizontal="center" vertical="center"/>
      <protection/>
    </xf>
    <xf numFmtId="3" fontId="24" fillId="47" borderId="20" xfId="146" applyNumberFormat="1" applyFont="1" applyFill="1" applyBorder="1" applyAlignment="1" applyProtection="1">
      <alignment horizontal="center" vertical="center"/>
      <protection/>
    </xf>
    <xf numFmtId="3" fontId="24" fillId="47" borderId="20" xfId="0" applyNumberFormat="1" applyFont="1" applyFill="1" applyBorder="1" applyAlignment="1">
      <alignment horizontal="center"/>
    </xf>
    <xf numFmtId="3" fontId="24" fillId="47" borderId="21" xfId="146" applyNumberFormat="1" applyFont="1" applyFill="1" applyBorder="1" applyAlignment="1" applyProtection="1">
      <alignment horizontal="center" vertical="center"/>
      <protection/>
    </xf>
    <xf numFmtId="3" fontId="107" fillId="47" borderId="20" xfId="146" applyNumberFormat="1" applyFont="1" applyFill="1" applyBorder="1" applyAlignment="1" applyProtection="1">
      <alignment horizontal="right" vertical="center"/>
      <protection/>
    </xf>
    <xf numFmtId="3" fontId="107" fillId="47" borderId="20" xfId="0" applyNumberFormat="1" applyFont="1" applyFill="1" applyBorder="1" applyAlignment="1">
      <alignment horizontal="right"/>
    </xf>
    <xf numFmtId="0" fontId="5" fillId="0" borderId="20" xfId="0" applyNumberFormat="1" applyFont="1" applyFill="1" applyBorder="1" applyAlignment="1" applyProtection="1">
      <alignment horizontal="right" vertical="center"/>
      <protection/>
    </xf>
    <xf numFmtId="3" fontId="5" fillId="48" borderId="20" xfId="0" applyNumberFormat="1" applyFont="1" applyFill="1" applyBorder="1" applyAlignment="1" applyProtection="1">
      <alignment horizontal="right" vertical="center"/>
      <protection/>
    </xf>
    <xf numFmtId="3" fontId="5" fillId="0" borderId="20" xfId="0" applyNumberFormat="1" applyFont="1" applyFill="1" applyBorder="1" applyAlignment="1" applyProtection="1">
      <alignment horizontal="right" vertical="center"/>
      <protection locked="0"/>
    </xf>
    <xf numFmtId="3" fontId="68" fillId="0" borderId="20" xfId="0" applyNumberFormat="1" applyFont="1" applyFill="1" applyBorder="1" applyAlignment="1" applyProtection="1">
      <alignment horizontal="right" vertical="center"/>
      <protection/>
    </xf>
    <xf numFmtId="3" fontId="5" fillId="0" borderId="20" xfId="146" applyNumberFormat="1" applyFont="1" applyFill="1" applyBorder="1" applyAlignment="1" applyProtection="1">
      <alignment horizontal="right" vertical="center"/>
      <protection locked="0"/>
    </xf>
    <xf numFmtId="3" fontId="110" fillId="47" borderId="20" xfId="0" applyNumberFormat="1" applyFont="1" applyFill="1" applyBorder="1" applyAlignment="1" applyProtection="1">
      <alignment horizontal="right" vertical="center"/>
      <protection/>
    </xf>
    <xf numFmtId="213" fontId="5" fillId="47" borderId="20" xfId="0" applyNumberFormat="1" applyFont="1" applyFill="1" applyBorder="1" applyAlignment="1" applyProtection="1">
      <alignment horizontal="center" vertical="center"/>
      <protection locked="0"/>
    </xf>
    <xf numFmtId="3" fontId="24" fillId="47" borderId="20" xfId="147" applyNumberFormat="1" applyFont="1" applyFill="1" applyBorder="1" applyAlignment="1" applyProtection="1">
      <alignment horizontal="right" vertical="center"/>
      <protection locked="0"/>
    </xf>
    <xf numFmtId="3" fontId="24" fillId="44" borderId="20" xfId="0" applyNumberFormat="1" applyFont="1" applyFill="1" applyBorder="1" applyAlignment="1" applyProtection="1">
      <alignment horizontal="right"/>
      <protection/>
    </xf>
    <xf numFmtId="194" fontId="12" fillId="0" borderId="20" xfId="93" applyNumberFormat="1" applyFont="1" applyFill="1" applyBorder="1" applyAlignment="1" applyProtection="1">
      <alignment horizontal="right" vertical="center"/>
      <protection/>
    </xf>
    <xf numFmtId="0" fontId="24" fillId="48" borderId="20" xfId="0" applyNumberFormat="1" applyFont="1" applyFill="1" applyBorder="1" applyAlignment="1" applyProtection="1">
      <alignment horizontal="right" vertical="center"/>
      <protection/>
    </xf>
    <xf numFmtId="0" fontId="24" fillId="0" borderId="20" xfId="0" applyNumberFormat="1" applyFont="1" applyFill="1" applyBorder="1" applyAlignment="1" applyProtection="1">
      <alignment horizontal="right" vertical="center"/>
      <protection/>
    </xf>
    <xf numFmtId="3" fontId="0" fillId="47" borderId="20" xfId="0" applyNumberFormat="1" applyFont="1" applyFill="1" applyBorder="1" applyAlignment="1" applyProtection="1">
      <alignment horizontal="right" vertical="center"/>
      <protection/>
    </xf>
    <xf numFmtId="3" fontId="0" fillId="47" borderId="21" xfId="0" applyNumberFormat="1" applyFont="1" applyFill="1" applyBorder="1" applyAlignment="1" applyProtection="1">
      <alignment horizontal="right" vertical="center"/>
      <protection/>
    </xf>
    <xf numFmtId="3" fontId="0" fillId="47" borderId="20" xfId="146" applyNumberFormat="1" applyFont="1" applyFill="1" applyBorder="1" applyAlignment="1" applyProtection="1">
      <alignment horizontal="right" vertical="center"/>
      <protection/>
    </xf>
    <xf numFmtId="3" fontId="0" fillId="47" borderId="20" xfId="0" applyNumberFormat="1" applyFont="1" applyFill="1" applyBorder="1" applyAlignment="1">
      <alignment horizontal="right"/>
    </xf>
    <xf numFmtId="3" fontId="0" fillId="47" borderId="21" xfId="146" applyNumberFormat="1" applyFont="1" applyFill="1" applyBorder="1" applyAlignment="1" applyProtection="1">
      <alignment horizontal="right" vertical="center"/>
      <protection/>
    </xf>
    <xf numFmtId="9" fontId="6" fillId="34" borderId="0" xfId="0" applyNumberFormat="1" applyFont="1" applyFill="1" applyAlignment="1">
      <alignment vertical="center"/>
    </xf>
    <xf numFmtId="219" fontId="6" fillId="34" borderId="0" xfId="0" applyNumberFormat="1" applyFont="1" applyFill="1" applyAlignment="1">
      <alignment vertical="center"/>
    </xf>
    <xf numFmtId="9" fontId="6" fillId="50" borderId="20" xfId="93" applyNumberFormat="1" applyFont="1" applyFill="1" applyBorder="1" applyAlignment="1" applyProtection="1">
      <alignment horizontal="right" vertical="center" wrapText="1"/>
      <protection/>
    </xf>
    <xf numFmtId="9" fontId="6" fillId="51" borderId="0" xfId="0" applyNumberFormat="1" applyFont="1" applyFill="1" applyAlignment="1">
      <alignment vertical="center"/>
    </xf>
    <xf numFmtId="219" fontId="6" fillId="51" borderId="0" xfId="0" applyNumberFormat="1" applyFont="1" applyFill="1" applyAlignment="1">
      <alignment vertical="center"/>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40" xfId="0" applyFont="1" applyFill="1" applyBorder="1" applyAlignment="1">
      <alignment/>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3" xfId="0" applyNumberFormat="1" applyFont="1" applyFill="1" applyBorder="1" applyAlignment="1">
      <alignment horizontal="center" vertical="center" wrapText="1"/>
    </xf>
    <xf numFmtId="0" fontId="25" fillId="0" borderId="0" xfId="136" applyFont="1" applyAlignment="1">
      <alignment horizontal="center"/>
      <protection/>
    </xf>
    <xf numFmtId="49" fontId="25" fillId="47" borderId="0" xfId="136" applyNumberFormat="1" applyFont="1" applyFill="1" applyAlignment="1">
      <alignment horizontal="center"/>
      <protection/>
    </xf>
    <xf numFmtId="49" fontId="25" fillId="0" borderId="0" xfId="136" applyNumberFormat="1" applyFont="1" applyBorder="1" applyAlignment="1">
      <alignment horizontal="center" wrapText="1"/>
      <protection/>
    </xf>
    <xf numFmtId="49" fontId="7" fillId="0" borderId="26" xfId="136" applyNumberFormat="1" applyFont="1" applyFill="1" applyBorder="1" applyAlignment="1">
      <alignment horizontal="center" vertical="center" wrapText="1"/>
      <protection/>
    </xf>
    <xf numFmtId="49" fontId="7" fillId="0" borderId="25" xfId="136" applyNumberFormat="1" applyFont="1" applyFill="1" applyBorder="1" applyAlignment="1">
      <alignment horizontal="center" vertical="center" wrapText="1"/>
      <protection/>
    </xf>
    <xf numFmtId="49" fontId="27" fillId="0" borderId="25" xfId="136" applyNumberFormat="1" applyFont="1" applyFill="1" applyBorder="1" applyAlignment="1">
      <alignment horizontal="center" vertical="center" wrapText="1"/>
      <protection/>
    </xf>
    <xf numFmtId="0" fontId="7" fillId="0" borderId="35" xfId="136" applyNumberFormat="1" applyFont="1" applyBorder="1" applyAlignment="1">
      <alignment horizontal="center" vertical="center" wrapText="1"/>
      <protection/>
    </xf>
    <xf numFmtId="0" fontId="7" fillId="0" borderId="36" xfId="136" applyNumberFormat="1" applyFont="1" applyBorder="1" applyAlignment="1">
      <alignment horizontal="center" vertical="center" wrapText="1"/>
      <protection/>
    </xf>
    <xf numFmtId="0" fontId="7" fillId="0" borderId="24" xfId="136" applyNumberFormat="1" applyFont="1" applyBorder="1" applyAlignment="1">
      <alignment horizontal="center" vertical="center" wrapText="1"/>
      <protection/>
    </xf>
    <xf numFmtId="0" fontId="7" fillId="0" borderId="42" xfId="136" applyNumberFormat="1" applyFont="1" applyBorder="1" applyAlignment="1">
      <alignment horizontal="center" vertical="center" wrapText="1"/>
      <protection/>
    </xf>
    <xf numFmtId="49" fontId="7" fillId="44" borderId="26" xfId="136" applyNumberFormat="1" applyFont="1" applyFill="1" applyBorder="1" applyAlignment="1">
      <alignment horizontal="center" vertical="center"/>
      <protection/>
    </xf>
    <xf numFmtId="49" fontId="7" fillId="44" borderId="25" xfId="136" applyNumberFormat="1" applyFont="1" applyFill="1" applyBorder="1" applyAlignment="1">
      <alignment horizontal="center" vertical="center"/>
      <protection/>
    </xf>
    <xf numFmtId="0" fontId="55" fillId="3" borderId="26" xfId="136" applyNumberFormat="1" applyFont="1" applyFill="1" applyBorder="1" applyAlignment="1">
      <alignment horizontal="center" vertical="center" wrapText="1"/>
      <protection/>
    </xf>
    <xf numFmtId="0" fontId="55" fillId="3" borderId="25" xfId="136" applyNumberFormat="1" applyFont="1" applyFill="1" applyBorder="1" applyAlignment="1">
      <alignment horizontal="center" vertical="center" wrapText="1"/>
      <protection/>
    </xf>
    <xf numFmtId="49" fontId="3"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7" fillId="0" borderId="26" xfId="136" applyNumberFormat="1" applyFont="1" applyBorder="1" applyAlignment="1">
      <alignment horizontal="center" vertical="center" wrapText="1"/>
      <protection/>
    </xf>
    <xf numFmtId="49" fontId="7" fillId="0" borderId="43" xfId="136" applyNumberFormat="1" applyFont="1" applyBorder="1" applyAlignment="1">
      <alignment horizontal="center" vertical="center" wrapText="1"/>
      <protection/>
    </xf>
    <xf numFmtId="49" fontId="7" fillId="0" borderId="25" xfId="136" applyNumberFormat="1" applyFont="1" applyBorder="1" applyAlignment="1">
      <alignment horizontal="center" vertical="center" wrapText="1"/>
      <protection/>
    </xf>
    <xf numFmtId="49" fontId="18" fillId="0" borderId="22" xfId="136" applyNumberFormat="1" applyFont="1" applyFill="1" applyBorder="1" applyAlignment="1">
      <alignment horizontal="center" vertical="center"/>
      <protection/>
    </xf>
    <xf numFmtId="49" fontId="7" fillId="0" borderId="20" xfId="136" applyNumberFormat="1" applyFont="1" applyFill="1" applyBorder="1" applyAlignment="1">
      <alignment horizontal="center" vertical="center" wrapText="1"/>
      <protection/>
    </xf>
    <xf numFmtId="49" fontId="18" fillId="0" borderId="0" xfId="136" applyNumberFormat="1" applyFont="1" applyAlignment="1">
      <alignment horizontal="left"/>
      <protection/>
    </xf>
    <xf numFmtId="49" fontId="14" fillId="47" borderId="0" xfId="136" applyNumberFormat="1" applyFont="1" applyFill="1" applyAlignment="1">
      <alignment horizontal="center" vertical="center" wrapText="1"/>
      <protection/>
    </xf>
    <xf numFmtId="49" fontId="3" fillId="0" borderId="0" xfId="136" applyNumberFormat="1" applyFont="1" applyAlignment="1">
      <alignment horizontal="left"/>
      <protection/>
    </xf>
    <xf numFmtId="49" fontId="0" fillId="0" borderId="0" xfId="136" applyNumberFormat="1" applyFont="1" applyAlignment="1">
      <alignment horizontal="left"/>
      <protection/>
    </xf>
    <xf numFmtId="49" fontId="32" fillId="0" borderId="0" xfId="136" applyNumberFormat="1" applyFont="1" applyAlignment="1">
      <alignment horizontal="center"/>
      <protection/>
    </xf>
    <xf numFmtId="49" fontId="28" fillId="0" borderId="0" xfId="136" applyNumberFormat="1" applyFont="1" applyAlignment="1">
      <alignment horizontal="center" wrapText="1"/>
      <protection/>
    </xf>
    <xf numFmtId="49" fontId="25" fillId="0" borderId="0" xfId="136" applyNumberFormat="1" applyFont="1" applyAlignment="1">
      <alignment horizontal="center"/>
      <protection/>
    </xf>
    <xf numFmtId="0" fontId="16" fillId="0" borderId="20" xfId="136" applyNumberFormat="1" applyFont="1" applyBorder="1" applyAlignment="1">
      <alignment horizontal="center" vertical="center" wrapText="1"/>
      <protection/>
    </xf>
    <xf numFmtId="49" fontId="30" fillId="0" borderId="0" xfId="136" applyNumberFormat="1" applyFont="1" applyBorder="1" applyAlignment="1">
      <alignment horizontal="center" wrapText="1"/>
      <protection/>
    </xf>
    <xf numFmtId="0" fontId="54" fillId="3" borderId="26" xfId="136" applyNumberFormat="1" applyFont="1" applyFill="1" applyBorder="1" applyAlignment="1">
      <alignment horizontal="center" vertical="center" wrapText="1"/>
      <protection/>
    </xf>
    <xf numFmtId="0" fontId="54" fillId="3" borderId="25" xfId="136" applyNumberFormat="1" applyFont="1" applyFill="1" applyBorder="1" applyAlignment="1">
      <alignment horizontal="center" vertic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3" fillId="47" borderId="40" xfId="136" applyNumberFormat="1" applyFont="1" applyFill="1" applyBorder="1" applyAlignment="1" applyProtection="1">
      <alignment horizontal="center" vertical="center" wrapText="1"/>
      <protection/>
    </xf>
    <xf numFmtId="3" fontId="33" fillId="47" borderId="23" xfId="136" applyNumberFormat="1" applyFont="1" applyFill="1" applyBorder="1" applyAlignment="1" applyProtection="1">
      <alignment horizontal="center" vertical="center" wrapText="1"/>
      <protection/>
    </xf>
    <xf numFmtId="49" fontId="7" fillId="0" borderId="20" xfId="136" applyNumberFormat="1" applyFont="1" applyFill="1" applyBorder="1" applyAlignment="1" applyProtection="1">
      <alignment horizontal="center" vertical="center" wrapText="1"/>
      <protection/>
    </xf>
    <xf numFmtId="3" fontId="7" fillId="47" borderId="21" xfId="136" applyNumberFormat="1" applyFont="1" applyFill="1" applyBorder="1" applyAlignment="1" applyProtection="1">
      <alignment horizontal="center" vertical="center" wrapText="1"/>
      <protection/>
    </xf>
    <xf numFmtId="3" fontId="7" fillId="47" borderId="23" xfId="136" applyNumberFormat="1" applyFont="1" applyFill="1" applyBorder="1" applyAlignment="1" applyProtection="1">
      <alignment horizontal="center" vertical="center" wrapText="1"/>
      <protection/>
    </xf>
    <xf numFmtId="49" fontId="64" fillId="0" borderId="0" xfId="136" applyNumberFormat="1" applyFont="1" applyBorder="1" applyAlignment="1">
      <alignment horizontal="center" wrapText="1"/>
      <protection/>
    </xf>
    <xf numFmtId="49" fontId="39" fillId="0" borderId="0" xfId="136" applyNumberFormat="1" applyFont="1" applyBorder="1" applyAlignment="1">
      <alignment horizontal="center"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47"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0"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20" xfId="136" applyNumberFormat="1" applyFont="1" applyFill="1" applyBorder="1" applyAlignment="1">
      <alignment horizontal="center" vertical="center" wrapText="1"/>
      <protection/>
    </xf>
    <xf numFmtId="49" fontId="6" fillId="0" borderId="22" xfId="136" applyNumberFormat="1" applyFont="1" applyFill="1" applyBorder="1" applyAlignment="1">
      <alignment horizontal="center" vertical="center" wrapText="1"/>
      <protection/>
    </xf>
    <xf numFmtId="49" fontId="6" fillId="0" borderId="43" xfId="136" applyNumberFormat="1" applyFont="1" applyFill="1" applyBorder="1" applyAlignment="1">
      <alignment horizontal="center" vertical="center" wrapText="1"/>
      <protection/>
    </xf>
    <xf numFmtId="49" fontId="6" fillId="0" borderId="25" xfId="136" applyNumberFormat="1" applyFont="1" applyFill="1" applyBorder="1" applyAlignment="1">
      <alignment horizontal="center" vertical="center" wrapText="1"/>
      <protection/>
    </xf>
    <xf numFmtId="49" fontId="67" fillId="3" borderId="26" xfId="136" applyNumberFormat="1" applyFont="1" applyFill="1" applyBorder="1" applyAlignment="1">
      <alignment horizontal="center" vertical="center" wrapText="1"/>
      <protection/>
    </xf>
    <xf numFmtId="49" fontId="67" fillId="3" borderId="25" xfId="136" applyNumberFormat="1" applyFont="1" applyFill="1" applyBorder="1" applyAlignment="1">
      <alignment horizontal="center" vertical="center" wrapText="1"/>
      <protection/>
    </xf>
    <xf numFmtId="49" fontId="3" fillId="0" borderId="20" xfId="136" applyNumberFormat="1" applyFont="1" applyFill="1" applyBorder="1" applyAlignment="1">
      <alignment horizontal="center"/>
      <protection/>
    </xf>
    <xf numFmtId="49" fontId="7" fillId="44" borderId="26" xfId="136" applyNumberFormat="1" applyFont="1" applyFill="1" applyBorder="1" applyAlignment="1">
      <alignment horizontal="center"/>
      <protection/>
    </xf>
    <xf numFmtId="49" fontId="7" fillId="44" borderId="25" xfId="136" applyNumberFormat="1" applyFont="1" applyFill="1" applyBorder="1" applyAlignment="1">
      <alignment horizontal="center"/>
      <protection/>
    </xf>
    <xf numFmtId="49" fontId="21" fillId="0" borderId="26" xfId="136" applyNumberFormat="1" applyFont="1" applyFill="1" applyBorder="1" applyAlignment="1">
      <alignment horizontal="center" vertical="center" wrapText="1"/>
      <protection/>
    </xf>
    <xf numFmtId="49" fontId="21" fillId="0" borderId="25" xfId="136" applyNumberFormat="1" applyFont="1" applyFill="1" applyBorder="1" applyAlignment="1">
      <alignment horizontal="center" vertical="center" wrapText="1"/>
      <protection/>
    </xf>
    <xf numFmtId="0" fontId="6" fillId="0" borderId="35" xfId="136" applyNumberFormat="1" applyFont="1" applyFill="1" applyBorder="1" applyAlignment="1">
      <alignment horizontal="center" vertical="center" wrapText="1"/>
      <protection/>
    </xf>
    <xf numFmtId="0" fontId="6" fillId="0" borderId="36" xfId="136" applyNumberFormat="1" applyFont="1" applyFill="1" applyBorder="1" applyAlignment="1">
      <alignment horizontal="center" vertical="center" wrapText="1"/>
      <protection/>
    </xf>
    <xf numFmtId="0" fontId="6" fillId="0" borderId="24" xfId="136" applyNumberFormat="1" applyFont="1" applyFill="1" applyBorder="1" applyAlignment="1">
      <alignment horizontal="center" vertical="center" wrapText="1"/>
      <protection/>
    </xf>
    <xf numFmtId="0" fontId="6" fillId="0" borderId="42"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37" xfId="136" applyNumberFormat="1" applyFont="1" applyFill="1" applyBorder="1" applyAlignment="1">
      <alignment horizontal="center" vertical="center" wrapText="1"/>
      <protection/>
    </xf>
    <xf numFmtId="49" fontId="6" fillId="0" borderId="26" xfId="136" applyNumberFormat="1" applyFont="1" applyFill="1" applyBorder="1" applyAlignment="1">
      <alignment horizontal="center" vertical="center" wrapText="1"/>
      <protection/>
    </xf>
    <xf numFmtId="49" fontId="6" fillId="0" borderId="40" xfId="136" applyNumberFormat="1" applyFont="1" applyFill="1" applyBorder="1" applyAlignment="1">
      <alignment horizontal="center" vertical="center" wrapText="1"/>
      <protection/>
    </xf>
    <xf numFmtId="49" fontId="6" fillId="0" borderId="23" xfId="136" applyNumberFormat="1" applyFont="1" applyFill="1" applyBorder="1" applyAlignment="1">
      <alignment horizontal="center" vertical="center" wrapText="1"/>
      <protection/>
    </xf>
    <xf numFmtId="49" fontId="66" fillId="3" borderId="26" xfId="136" applyNumberFormat="1" applyFont="1" applyFill="1" applyBorder="1" applyAlignment="1">
      <alignment horizontal="center" vertical="center" wrapText="1"/>
      <protection/>
    </xf>
    <xf numFmtId="49" fontId="66" fillId="3" borderId="25"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44" borderId="26" xfId="136" applyNumberFormat="1" applyFont="1" applyFill="1" applyBorder="1" applyAlignment="1">
      <alignment horizontal="center" vertical="center" wrapText="1"/>
      <protection/>
    </xf>
    <xf numFmtId="49" fontId="7" fillId="44" borderId="25" xfId="136" applyNumberFormat="1" applyFont="1" applyFill="1" applyBorder="1" applyAlignment="1">
      <alignment horizontal="center" vertical="center" wrapText="1"/>
      <protection/>
    </xf>
    <xf numFmtId="49" fontId="16" fillId="0" borderId="26" xfId="136" applyNumberFormat="1" applyFont="1" applyBorder="1" applyAlignment="1">
      <alignment horizontal="center" wrapText="1"/>
      <protection/>
    </xf>
    <xf numFmtId="49" fontId="16" fillId="0" borderId="25" xfId="136" applyNumberFormat="1" applyFont="1" applyBorder="1" applyAlignment="1">
      <alignment horizontal="center" wrapText="1"/>
      <protection/>
    </xf>
    <xf numFmtId="49" fontId="28" fillId="0" borderId="0" xfId="136" applyNumberFormat="1" applyFont="1" applyBorder="1" applyAlignment="1">
      <alignment horizontal="center" wrapText="1"/>
      <protection/>
    </xf>
    <xf numFmtId="49" fontId="0" fillId="0" borderId="0" xfId="136" applyNumberFormat="1" applyFont="1" applyAlignment="1">
      <alignment/>
      <protection/>
    </xf>
    <xf numFmtId="49" fontId="30" fillId="0" borderId="0" xfId="136" applyNumberFormat="1" applyFont="1" applyBorder="1" applyAlignment="1">
      <alignment horizontal="center"/>
      <protection/>
    </xf>
    <xf numFmtId="49" fontId="25" fillId="0" borderId="0" xfId="136" applyNumberFormat="1" applyFont="1" applyBorder="1" applyAlignment="1">
      <alignment horizontal="center"/>
      <protection/>
    </xf>
    <xf numFmtId="49" fontId="7" fillId="0" borderId="35" xfId="136" applyNumberFormat="1" applyFont="1" applyFill="1" applyBorder="1" applyAlignment="1">
      <alignment horizontal="center" vertical="center" wrapText="1"/>
      <protection/>
    </xf>
    <xf numFmtId="49" fontId="7" fillId="0" borderId="36" xfId="136" applyNumberFormat="1" applyFont="1" applyFill="1" applyBorder="1" applyAlignment="1">
      <alignment horizontal="center" vertical="center" wrapText="1"/>
      <protection/>
    </xf>
    <xf numFmtId="49" fontId="7" fillId="0" borderId="24" xfId="136" applyNumberFormat="1" applyFont="1" applyFill="1" applyBorder="1" applyAlignment="1">
      <alignment horizontal="center" vertical="center" wrapText="1"/>
      <protection/>
    </xf>
    <xf numFmtId="49" fontId="7" fillId="0" borderId="42"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37" xfId="136" applyNumberFormat="1" applyFont="1" applyFill="1" applyBorder="1" applyAlignment="1">
      <alignment horizontal="center" vertical="center" wrapText="1"/>
      <protection/>
    </xf>
    <xf numFmtId="49" fontId="28" fillId="0" borderId="0" xfId="136" applyNumberFormat="1" applyFont="1" applyAlignment="1">
      <alignment horizontal="center"/>
      <protection/>
    </xf>
    <xf numFmtId="49" fontId="55" fillId="3" borderId="26" xfId="136" applyNumberFormat="1" applyFont="1" applyFill="1" applyBorder="1" applyAlignment="1">
      <alignment horizontal="center" wrapText="1"/>
      <protection/>
    </xf>
    <xf numFmtId="49" fontId="55" fillId="3" borderId="25" xfId="136" applyNumberFormat="1" applyFont="1" applyFill="1" applyBorder="1" applyAlignment="1">
      <alignment horizontal="center" wrapText="1"/>
      <protection/>
    </xf>
    <xf numFmtId="49" fontId="54" fillId="3" borderId="26" xfId="136" applyNumberFormat="1" applyFont="1" applyFill="1" applyBorder="1" applyAlignment="1">
      <alignment horizontal="center" wrapText="1"/>
      <protection/>
    </xf>
    <xf numFmtId="49" fontId="54" fillId="3" borderId="25" xfId="136" applyNumberFormat="1" applyFont="1" applyFill="1" applyBorder="1" applyAlignment="1">
      <alignment horizontal="center" wrapText="1"/>
      <protection/>
    </xf>
    <xf numFmtId="49" fontId="3" fillId="0" borderId="20" xfId="136" applyNumberFormat="1" applyFont="1" applyBorder="1" applyAlignment="1">
      <alignment horizontal="center"/>
      <protection/>
    </xf>
    <xf numFmtId="49" fontId="14" fillId="0" borderId="0" xfId="136" applyNumberFormat="1" applyFont="1" applyAlignment="1">
      <alignment horizontal="center" wrapText="1"/>
      <protection/>
    </xf>
    <xf numFmtId="49" fontId="18" fillId="0" borderId="22" xfId="136" applyNumberFormat="1" applyFont="1" applyBorder="1" applyAlignment="1">
      <alignment horizontal="left"/>
      <protection/>
    </xf>
    <xf numFmtId="49" fontId="18" fillId="0" borderId="0" xfId="136" applyNumberFormat="1" applyFont="1" applyAlignment="1">
      <alignment horizontal="center"/>
      <protection/>
    </xf>
    <xf numFmtId="49" fontId="18" fillId="0" borderId="0" xfId="136" applyNumberFormat="1" applyFont="1" applyBorder="1" applyAlignment="1">
      <alignment horizontal="left"/>
      <protection/>
    </xf>
    <xf numFmtId="49" fontId="0" fillId="0" borderId="0" xfId="136" applyNumberFormat="1" applyFont="1" applyAlignment="1">
      <alignment horizontal="left" wrapText="1"/>
      <protection/>
    </xf>
    <xf numFmtId="49" fontId="3" fillId="0" borderId="0" xfId="136" applyNumberFormat="1" applyFont="1" applyAlignment="1">
      <alignment horizontal="left" wrapText="1"/>
      <protection/>
    </xf>
    <xf numFmtId="49" fontId="3" fillId="0" borderId="20" xfId="136" applyNumberFormat="1" applyFont="1" applyFill="1" applyBorder="1" applyAlignment="1">
      <alignment horizontal="center" vertical="center" wrapText="1"/>
      <protection/>
    </xf>
    <xf numFmtId="49" fontId="20" fillId="0" borderId="20" xfId="136" applyNumberFormat="1" applyFont="1" applyFill="1" applyBorder="1" applyAlignment="1">
      <alignment horizontal="center" vertical="center" wrapText="1"/>
      <protection/>
    </xf>
    <xf numFmtId="49" fontId="75" fillId="4" borderId="21" xfId="139" applyNumberFormat="1" applyFont="1" applyFill="1" applyBorder="1" applyAlignment="1">
      <alignment horizontal="center" vertical="center" wrapText="1"/>
      <protection/>
    </xf>
    <xf numFmtId="49" fontId="75" fillId="4" borderId="40" xfId="139" applyNumberFormat="1" applyFont="1" applyFill="1" applyBorder="1" applyAlignment="1">
      <alignment horizontal="center" vertical="center" wrapText="1"/>
      <protection/>
    </xf>
    <xf numFmtId="49" fontId="75" fillId="4" borderId="23" xfId="139" applyNumberFormat="1" applyFont="1" applyFill="1" applyBorder="1" applyAlignment="1">
      <alignment horizontal="center" vertical="center" wrapText="1"/>
      <protection/>
    </xf>
    <xf numFmtId="49" fontId="0" fillId="0" borderId="0" xfId="139" applyNumberFormat="1" applyFont="1" applyAlignment="1">
      <alignment horizontal="left"/>
      <protection/>
    </xf>
    <xf numFmtId="49" fontId="83" fillId="0" borderId="26" xfId="139" applyNumberFormat="1" applyFont="1" applyBorder="1" applyAlignment="1">
      <alignment horizontal="center" vertical="center" wrapText="1"/>
      <protection/>
    </xf>
    <xf numFmtId="49" fontId="83" fillId="0" borderId="25" xfId="139" applyNumberFormat="1" applyFont="1" applyBorder="1" applyAlignment="1">
      <alignment horizontal="center" vertical="center" wrapText="1"/>
      <protection/>
    </xf>
    <xf numFmtId="49" fontId="30" fillId="0" borderId="0" xfId="139" applyNumberFormat="1" applyFont="1" applyBorder="1" applyAlignment="1">
      <alignment horizontal="center" wrapText="1"/>
      <protection/>
    </xf>
    <xf numFmtId="49" fontId="6" fillId="0" borderId="43" xfId="139" applyNumberFormat="1" applyFont="1" applyFill="1" applyBorder="1" applyAlignment="1">
      <alignment horizontal="center" vertical="center"/>
      <protection/>
    </xf>
    <xf numFmtId="49" fontId="6" fillId="0" borderId="20" xfId="139" applyNumberFormat="1" applyFont="1" applyFill="1" applyBorder="1" applyAlignment="1">
      <alignment horizontal="center" vertical="center" wrapText="1"/>
      <protection/>
    </xf>
    <xf numFmtId="49" fontId="6" fillId="0" borderId="21" xfId="139" applyNumberFormat="1" applyFont="1" applyFill="1" applyBorder="1" applyAlignment="1">
      <alignment horizontal="center" vertical="center" wrapText="1"/>
      <protection/>
    </xf>
    <xf numFmtId="49" fontId="6" fillId="0" borderId="40" xfId="139" applyNumberFormat="1" applyFont="1" applyFill="1" applyBorder="1" applyAlignment="1">
      <alignment horizontal="center" vertical="center" wrapText="1"/>
      <protection/>
    </xf>
    <xf numFmtId="49" fontId="6" fillId="0" borderId="23" xfId="139" applyNumberFormat="1" applyFont="1" applyFill="1" applyBorder="1" applyAlignment="1">
      <alignment horizontal="center" vertical="center" wrapText="1"/>
      <protection/>
    </xf>
    <xf numFmtId="49" fontId="13" fillId="0" borderId="0" xfId="139" applyNumberFormat="1" applyFont="1" applyAlignment="1">
      <alignment horizontal="center"/>
      <protection/>
    </xf>
    <xf numFmtId="49" fontId="30" fillId="0" borderId="0" xfId="139" applyNumberFormat="1" applyFont="1" applyBorder="1" applyAlignment="1">
      <alignment horizontal="center"/>
      <protection/>
    </xf>
    <xf numFmtId="49" fontId="85" fillId="3" borderId="26" xfId="139" applyNumberFormat="1" applyFont="1" applyFill="1" applyBorder="1" applyAlignment="1">
      <alignment horizontal="center" vertical="center" wrapText="1"/>
      <protection/>
    </xf>
    <xf numFmtId="49" fontId="85" fillId="3" borderId="25" xfId="139" applyNumberFormat="1" applyFont="1" applyFill="1" applyBorder="1" applyAlignment="1">
      <alignment horizontal="center" vertical="center" wrapText="1"/>
      <protection/>
    </xf>
    <xf numFmtId="49" fontId="28" fillId="0" borderId="0" xfId="139" applyNumberFormat="1" applyFont="1" applyAlignment="1">
      <alignment horizontal="center"/>
      <protection/>
    </xf>
    <xf numFmtId="0" fontId="25" fillId="47" borderId="0" xfId="139" applyFont="1" applyFill="1" applyBorder="1" applyAlignment="1">
      <alignment horizontal="center"/>
      <protection/>
    </xf>
    <xf numFmtId="49" fontId="30" fillId="0" borderId="0" xfId="139" applyNumberFormat="1" applyFont="1" applyAlignment="1">
      <alignment horizontal="center"/>
      <protection/>
    </xf>
    <xf numFmtId="49" fontId="25" fillId="0" borderId="0" xfId="139" applyNumberFormat="1" applyFont="1" applyBorder="1" applyAlignment="1">
      <alignment horizontal="center" wrapText="1"/>
      <protection/>
    </xf>
    <xf numFmtId="49" fontId="6" fillId="0" borderId="26" xfId="139" applyNumberFormat="1" applyFont="1" applyBorder="1" applyAlignment="1">
      <alignment horizontal="center" vertical="center" wrapText="1"/>
      <protection/>
    </xf>
    <xf numFmtId="49" fontId="6" fillId="0" borderId="25" xfId="139" applyNumberFormat="1" applyFont="1" applyBorder="1" applyAlignment="1">
      <alignment horizontal="center" vertical="center" wrapText="1"/>
      <protection/>
    </xf>
    <xf numFmtId="49" fontId="25" fillId="0" borderId="0" xfId="139" applyNumberFormat="1" applyFont="1" applyBorder="1" applyAlignment="1">
      <alignment horizontal="center"/>
      <protection/>
    </xf>
    <xf numFmtId="49" fontId="3" fillId="0" borderId="0" xfId="139" applyNumberFormat="1" applyFont="1" applyBorder="1" applyAlignment="1">
      <alignment horizontal="left"/>
      <protection/>
    </xf>
    <xf numFmtId="49" fontId="6" fillId="0" borderId="35" xfId="139" applyNumberFormat="1" applyFont="1" applyFill="1" applyBorder="1" applyAlignment="1">
      <alignment horizontal="center" vertical="center"/>
      <protection/>
    </xf>
    <xf numFmtId="49" fontId="6" fillId="0" borderId="36" xfId="139" applyNumberFormat="1" applyFont="1" applyFill="1" applyBorder="1" applyAlignment="1">
      <alignment horizontal="center" vertical="center"/>
      <protection/>
    </xf>
    <xf numFmtId="49" fontId="6" fillId="0" borderId="24" xfId="139" applyNumberFormat="1" applyFont="1" applyFill="1" applyBorder="1" applyAlignment="1">
      <alignment horizontal="center" vertical="center"/>
      <protection/>
    </xf>
    <xf numFmtId="49" fontId="6" fillId="0" borderId="42" xfId="139" applyNumberFormat="1" applyFont="1" applyFill="1" applyBorder="1" applyAlignment="1">
      <alignment horizontal="center" vertical="center"/>
      <protection/>
    </xf>
    <xf numFmtId="49" fontId="6" fillId="0" borderId="27" xfId="139" applyNumberFormat="1" applyFont="1" applyFill="1" applyBorder="1" applyAlignment="1">
      <alignment horizontal="center" vertical="center"/>
      <protection/>
    </xf>
    <xf numFmtId="49" fontId="6" fillId="0" borderId="37" xfId="139" applyNumberFormat="1" applyFont="1" applyFill="1" applyBorder="1" applyAlignment="1">
      <alignment horizontal="center" vertical="center"/>
      <protection/>
    </xf>
    <xf numFmtId="49" fontId="14" fillId="0" borderId="0" xfId="139" applyNumberFormat="1" applyFont="1" applyFill="1" applyAlignment="1">
      <alignment horizontal="center" wrapText="1"/>
      <protection/>
    </xf>
    <xf numFmtId="49" fontId="14" fillId="0" borderId="0" xfId="139" applyNumberFormat="1" applyFont="1" applyAlignment="1">
      <alignment horizontal="center"/>
      <protection/>
    </xf>
    <xf numFmtId="49" fontId="4" fillId="0" borderId="0" xfId="139" applyNumberFormat="1" applyFont="1" applyAlignment="1">
      <alignment horizontal="left"/>
      <protection/>
    </xf>
    <xf numFmtId="49" fontId="6" fillId="0" borderId="26" xfId="139" applyNumberFormat="1" applyFont="1" applyFill="1" applyBorder="1" applyAlignment="1">
      <alignment horizontal="center" vertical="center"/>
      <protection/>
    </xf>
    <xf numFmtId="49" fontId="3" fillId="0" borderId="0" xfId="139" applyNumberFormat="1" applyFont="1" applyFill="1" applyAlignment="1">
      <alignment horizontal="left"/>
      <protection/>
    </xf>
    <xf numFmtId="49" fontId="32" fillId="0" borderId="0" xfId="139" applyNumberFormat="1" applyFont="1" applyAlignment="1">
      <alignment horizontal="center"/>
      <protection/>
    </xf>
    <xf numFmtId="49" fontId="18" fillId="0" borderId="0" xfId="139" applyNumberFormat="1" applyFont="1" applyBorder="1" applyAlignment="1">
      <alignment horizontal="left"/>
      <protection/>
    </xf>
    <xf numFmtId="49" fontId="6" fillId="0" borderId="26" xfId="139" applyNumberFormat="1" applyFont="1" applyFill="1" applyBorder="1" applyAlignment="1">
      <alignment horizontal="center" vertical="center" wrapText="1"/>
      <protection/>
    </xf>
    <xf numFmtId="49" fontId="84" fillId="3" borderId="26" xfId="139" applyNumberFormat="1" applyFont="1" applyFill="1" applyBorder="1" applyAlignment="1">
      <alignment horizontal="center" vertical="center" wrapText="1"/>
      <protection/>
    </xf>
    <xf numFmtId="49" fontId="84" fillId="3" borderId="25" xfId="139" applyNumberFormat="1" applyFont="1" applyFill="1" applyBorder="1" applyAlignment="1">
      <alignment horizontal="center" vertical="center" wrapText="1"/>
      <protection/>
    </xf>
    <xf numFmtId="49" fontId="6" fillId="0" borderId="25" xfId="139" applyNumberFormat="1" applyFont="1" applyFill="1" applyBorder="1" applyAlignment="1">
      <alignment horizontal="center" vertical="center" wrapText="1"/>
      <protection/>
    </xf>
    <xf numFmtId="0" fontId="87" fillId="0" borderId="0" xfId="139" applyFont="1" applyAlignment="1">
      <alignment horizontal="center"/>
      <protection/>
    </xf>
    <xf numFmtId="0" fontId="6" fillId="0" borderId="26" xfId="139" applyFont="1" applyBorder="1" applyAlignment="1">
      <alignment horizontal="center" vertical="center" wrapText="1"/>
      <protection/>
    </xf>
    <xf numFmtId="0" fontId="6" fillId="0" borderId="25" xfId="139" applyFont="1" applyBorder="1" applyAlignment="1">
      <alignment horizontal="center" vertical="center" wrapText="1"/>
      <protection/>
    </xf>
    <xf numFmtId="0" fontId="6" fillId="0" borderId="21" xfId="139" applyFont="1" applyBorder="1" applyAlignment="1">
      <alignment horizontal="center" vertical="center" wrapText="1"/>
      <protection/>
    </xf>
    <xf numFmtId="0" fontId="6" fillId="0" borderId="40" xfId="139" applyFont="1" applyBorder="1" applyAlignment="1">
      <alignment horizontal="center" vertical="center" wrapText="1"/>
      <protection/>
    </xf>
    <xf numFmtId="0" fontId="6" fillId="0" borderId="23" xfId="139" applyFont="1" applyBorder="1" applyAlignment="1">
      <alignment horizontal="center" vertical="center" wrapText="1"/>
      <protection/>
    </xf>
    <xf numFmtId="0" fontId="6" fillId="0" borderId="20" xfId="139" applyFont="1" applyBorder="1" applyAlignment="1">
      <alignment horizontal="center" vertical="center" wrapText="1"/>
      <protection/>
    </xf>
    <xf numFmtId="0" fontId="21" fillId="0" borderId="26" xfId="139" applyFont="1" applyBorder="1" applyAlignment="1">
      <alignment horizontal="center" vertical="center" wrapText="1"/>
      <protection/>
    </xf>
    <xf numFmtId="0" fontId="21" fillId="0" borderId="25" xfId="139" applyFont="1" applyBorder="1" applyAlignment="1">
      <alignment horizontal="center" vertical="center" wrapText="1"/>
      <protection/>
    </xf>
    <xf numFmtId="0" fontId="6" fillId="0" borderId="20" xfId="139" applyFont="1" applyBorder="1" applyAlignment="1">
      <alignment horizontal="center" vertical="center"/>
      <protection/>
    </xf>
    <xf numFmtId="49" fontId="6" fillId="0" borderId="19" xfId="139" applyNumberFormat="1" applyFont="1" applyFill="1" applyBorder="1" applyAlignment="1">
      <alignment horizontal="center" vertical="center"/>
      <protection/>
    </xf>
    <xf numFmtId="49" fontId="6" fillId="0" borderId="0" xfId="139" applyNumberFormat="1" applyFont="1" applyFill="1" applyBorder="1" applyAlignment="1">
      <alignment horizontal="center" vertical="center"/>
      <protection/>
    </xf>
    <xf numFmtId="49" fontId="6" fillId="0" borderId="22" xfId="139" applyNumberFormat="1" applyFont="1" applyFill="1" applyBorder="1" applyAlignment="1">
      <alignment horizontal="center" vertical="center"/>
      <protection/>
    </xf>
    <xf numFmtId="0" fontId="6" fillId="0" borderId="43" xfId="139" applyFont="1" applyBorder="1" applyAlignment="1">
      <alignment horizontal="center" vertical="center"/>
      <protection/>
    </xf>
    <xf numFmtId="0" fontId="6" fillId="0" borderId="25" xfId="139" applyFont="1" applyBorder="1" applyAlignment="1">
      <alignment horizontal="center" vertical="center"/>
      <protection/>
    </xf>
    <xf numFmtId="0" fontId="66" fillId="3" borderId="26" xfId="139" applyFont="1" applyFill="1" applyBorder="1" applyAlignment="1">
      <alignment horizontal="center" vertical="center" wrapText="1"/>
      <protection/>
    </xf>
    <xf numFmtId="0" fontId="66" fillId="3" borderId="25" xfId="139" applyFont="1" applyFill="1" applyBorder="1" applyAlignment="1">
      <alignment horizontal="center" vertical="center" wrapText="1"/>
      <protection/>
    </xf>
    <xf numFmtId="0" fontId="30" fillId="0" borderId="0" xfId="139" applyNumberFormat="1" applyFont="1" applyBorder="1" applyAlignment="1">
      <alignment horizontal="center"/>
      <protection/>
    </xf>
    <xf numFmtId="0" fontId="30" fillId="0" borderId="0" xfId="139" applyFont="1" applyBorder="1" applyAlignment="1">
      <alignment horizontal="center" wrapText="1"/>
      <protection/>
    </xf>
    <xf numFmtId="0" fontId="25" fillId="0" borderId="0" xfId="139" applyFont="1" applyBorder="1" applyAlignment="1">
      <alignment horizontal="center" wrapText="1"/>
      <protection/>
    </xf>
    <xf numFmtId="0" fontId="67" fillId="3" borderId="26" xfId="139" applyFont="1" applyFill="1" applyBorder="1" applyAlignment="1">
      <alignment horizontal="center" vertical="center" wrapText="1"/>
      <protection/>
    </xf>
    <xf numFmtId="0" fontId="67" fillId="3" borderId="25" xfId="139" applyFont="1" applyFill="1" applyBorder="1" applyAlignment="1">
      <alignment horizontal="center" vertical="center" wrapText="1"/>
      <protection/>
    </xf>
    <xf numFmtId="0" fontId="25" fillId="0" borderId="0" xfId="139" applyNumberFormat="1" applyFont="1" applyBorder="1" applyAlignment="1">
      <alignment horizontal="center"/>
      <protection/>
    </xf>
    <xf numFmtId="0" fontId="3" fillId="0" borderId="0" xfId="139" applyNumberFormat="1" applyFont="1" applyAlignment="1">
      <alignment horizontal="left"/>
      <protection/>
    </xf>
    <xf numFmtId="0" fontId="0" fillId="0" borderId="0" xfId="139" applyFont="1" applyAlignment="1">
      <alignment horizontal="left"/>
      <protection/>
    </xf>
    <xf numFmtId="0" fontId="0" fillId="0" borderId="0" xfId="139" applyFont="1" applyBorder="1" applyAlignment="1">
      <alignment/>
      <protection/>
    </xf>
    <xf numFmtId="0" fontId="14" fillId="0" borderId="0" xfId="139" applyFont="1" applyAlignment="1">
      <alignment horizontal="center" wrapText="1"/>
      <protection/>
    </xf>
    <xf numFmtId="0" fontId="13" fillId="0" borderId="0" xfId="139" applyFont="1" applyBorder="1" applyAlignment="1">
      <alignment horizontal="center"/>
      <protection/>
    </xf>
    <xf numFmtId="0" fontId="14" fillId="0" borderId="0" xfId="139" applyFont="1" applyAlignment="1">
      <alignment horizontal="center"/>
      <protection/>
    </xf>
    <xf numFmtId="0" fontId="32" fillId="0" borderId="0" xfId="139" applyFont="1" applyAlignment="1">
      <alignment horizontal="center"/>
      <protection/>
    </xf>
    <xf numFmtId="0" fontId="6" fillId="0" borderId="35" xfId="139" applyFont="1" applyBorder="1" applyAlignment="1">
      <alignment horizontal="center" vertical="center" wrapText="1"/>
      <protection/>
    </xf>
    <xf numFmtId="0" fontId="6" fillId="0" borderId="19" xfId="139" applyFont="1" applyBorder="1" applyAlignment="1">
      <alignment horizontal="center" vertical="center" wrapText="1"/>
      <protection/>
    </xf>
    <xf numFmtId="0" fontId="6" fillId="0" borderId="36" xfId="139" applyFont="1" applyBorder="1" applyAlignment="1">
      <alignment horizontal="center" vertical="center" wrapText="1"/>
      <protection/>
    </xf>
    <xf numFmtId="0" fontId="6" fillId="0" borderId="24" xfId="139" applyFont="1" applyBorder="1" applyAlignment="1">
      <alignment horizontal="center" vertical="center" wrapText="1"/>
      <protection/>
    </xf>
    <xf numFmtId="0" fontId="6" fillId="0" borderId="0" xfId="139" applyFont="1" applyBorder="1" applyAlignment="1">
      <alignment horizontal="center" vertical="center" wrapText="1"/>
      <protection/>
    </xf>
    <xf numFmtId="0" fontId="6" fillId="0" borderId="42" xfId="139" applyFont="1" applyBorder="1" applyAlignment="1">
      <alignment horizontal="center" vertical="center" wrapText="1"/>
      <protection/>
    </xf>
    <xf numFmtId="3" fontId="0" fillId="47" borderId="0" xfId="139" applyNumberFormat="1" applyFont="1" applyFill="1" applyBorder="1" applyAlignment="1">
      <alignment horizontal="left"/>
      <protection/>
    </xf>
    <xf numFmtId="0" fontId="6" fillId="0" borderId="20" xfId="139" applyFont="1" applyFill="1" applyBorder="1" applyAlignment="1">
      <alignment horizontal="center" vertical="center" wrapText="1"/>
      <protection/>
    </xf>
    <xf numFmtId="0" fontId="12" fillId="0" borderId="20" xfId="139" applyFont="1" applyBorder="1" applyAlignment="1">
      <alignment horizontal="center" vertical="center" wrapText="1"/>
      <protection/>
    </xf>
    <xf numFmtId="0" fontId="3" fillId="0" borderId="0" xfId="139" applyFont="1" applyBorder="1" applyAlignment="1">
      <alignment horizontal="left"/>
      <protection/>
    </xf>
    <xf numFmtId="0" fontId="0" fillId="0" borderId="0" xfId="139" applyFont="1" applyBorder="1" applyAlignment="1">
      <alignment horizontal="left"/>
      <protection/>
    </xf>
    <xf numFmtId="0" fontId="6" fillId="0" borderId="26" xfId="139" applyFont="1" applyBorder="1" applyAlignment="1">
      <alignment horizontal="center" vertical="center"/>
      <protection/>
    </xf>
    <xf numFmtId="0" fontId="13" fillId="0" borderId="22" xfId="139" applyFont="1" applyBorder="1" applyAlignment="1">
      <alignment horizontal="left"/>
      <protection/>
    </xf>
    <xf numFmtId="49" fontId="19" fillId="0" borderId="22" xfId="139" applyNumberFormat="1" applyFont="1" applyBorder="1" applyAlignment="1">
      <alignment horizontal="center"/>
      <protection/>
    </xf>
    <xf numFmtId="49" fontId="73" fillId="0" borderId="20" xfId="139" applyNumberFormat="1" applyFont="1" applyBorder="1" applyAlignment="1">
      <alignment horizontal="center" vertical="center" wrapText="1"/>
      <protection/>
    </xf>
    <xf numFmtId="49" fontId="12" fillId="0" borderId="20" xfId="139" applyNumberFormat="1" applyFont="1" applyBorder="1" applyAlignment="1">
      <alignment horizontal="center" vertical="center" wrapText="1"/>
      <protection/>
    </xf>
    <xf numFmtId="49" fontId="3" fillId="0" borderId="0" xfId="139" applyNumberFormat="1" applyFont="1" applyAlignment="1">
      <alignment horizontal="left"/>
      <protection/>
    </xf>
    <xf numFmtId="49" fontId="5" fillId="0" borderId="0" xfId="139" applyNumberFormat="1" applyFont="1" applyBorder="1" applyAlignment="1">
      <alignment horizontal="left" wrapText="1"/>
      <protection/>
    </xf>
    <xf numFmtId="49" fontId="5" fillId="0" borderId="0" xfId="139" applyNumberFormat="1" applyFont="1" applyBorder="1" applyAlignment="1">
      <alignment horizontal="left"/>
      <protection/>
    </xf>
    <xf numFmtId="49" fontId="14" fillId="0" borderId="0" xfId="139" applyNumberFormat="1" applyFont="1" applyAlignment="1">
      <alignment horizontal="center" wrapText="1"/>
      <protection/>
    </xf>
    <xf numFmtId="49" fontId="0" fillId="47" borderId="0" xfId="139" applyNumberFormat="1" applyFont="1" applyFill="1" applyBorder="1" applyAlignment="1">
      <alignment horizontal="left" vertical="top" wrapText="1"/>
      <protection/>
    </xf>
    <xf numFmtId="49" fontId="3" fillId="47" borderId="0" xfId="139" applyNumberFormat="1" applyFont="1" applyFill="1" applyBorder="1" applyAlignment="1">
      <alignment horizontal="left" vertical="top" wrapText="1"/>
      <protection/>
    </xf>
    <xf numFmtId="49" fontId="0" fillId="0" borderId="0" xfId="139" applyNumberFormat="1" applyFont="1" applyAlignment="1">
      <alignment horizontal="justify" vertical="top"/>
      <protection/>
    </xf>
    <xf numFmtId="49" fontId="0" fillId="0" borderId="0" xfId="139" applyNumberFormat="1" applyFont="1" applyBorder="1" applyAlignment="1">
      <alignment horizontal="justify" vertical="top" wrapText="1"/>
      <protection/>
    </xf>
    <xf numFmtId="49" fontId="0" fillId="0" borderId="0" xfId="139" applyNumberFormat="1" applyFont="1" applyBorder="1" applyAlignment="1">
      <alignment horizontal="justify" vertical="top"/>
      <protection/>
    </xf>
    <xf numFmtId="49" fontId="18" fillId="0" borderId="0" xfId="139" applyNumberFormat="1" applyFont="1" applyAlignment="1">
      <alignment horizontal="center" wrapText="1"/>
      <protection/>
    </xf>
    <xf numFmtId="49" fontId="78" fillId="0" borderId="0" xfId="139" applyNumberFormat="1" applyFont="1" applyAlignment="1">
      <alignment horizontal="center"/>
      <protection/>
    </xf>
    <xf numFmtId="49" fontId="6" fillId="0" borderId="20" xfId="139" applyNumberFormat="1" applyFont="1" applyFill="1" applyBorder="1" applyAlignment="1">
      <alignment horizontal="center" vertical="center"/>
      <protection/>
    </xf>
    <xf numFmtId="49" fontId="76" fillId="3" borderId="26" xfId="139" applyNumberFormat="1" applyFont="1" applyFill="1" applyBorder="1" applyAlignment="1">
      <alignment horizontal="center" vertical="center" wrapText="1"/>
      <protection/>
    </xf>
    <xf numFmtId="49" fontId="76" fillId="3" borderId="25" xfId="139" applyNumberFormat="1" applyFont="1" applyFill="1" applyBorder="1" applyAlignment="1">
      <alignment horizontal="center" vertical="center" wrapText="1"/>
      <protection/>
    </xf>
    <xf numFmtId="49" fontId="74" fillId="3" borderId="26" xfId="139" applyNumberFormat="1" applyFont="1" applyFill="1" applyBorder="1" applyAlignment="1">
      <alignment horizontal="center" vertical="center" wrapText="1"/>
      <protection/>
    </xf>
    <xf numFmtId="49" fontId="74" fillId="3" borderId="25" xfId="139" applyNumberFormat="1" applyFont="1" applyFill="1" applyBorder="1" applyAlignment="1">
      <alignment horizontal="center" vertical="center" wrapText="1"/>
      <protection/>
    </xf>
    <xf numFmtId="49" fontId="6" fillId="0" borderId="21" xfId="139" applyNumberFormat="1" applyFont="1" applyBorder="1" applyAlignment="1">
      <alignment horizontal="center" vertical="center" wrapText="1"/>
      <protection/>
    </xf>
    <xf numFmtId="49" fontId="6" fillId="0" borderId="40" xfId="139" applyNumberFormat="1" applyFont="1" applyBorder="1" applyAlignment="1">
      <alignment horizontal="center" vertical="center" wrapText="1"/>
      <protection/>
    </xf>
    <xf numFmtId="49" fontId="6" fillId="0" borderId="23" xfId="139" applyNumberFormat="1" applyFont="1" applyBorder="1" applyAlignment="1">
      <alignment horizontal="center" vertical="center" wrapText="1"/>
      <protection/>
    </xf>
    <xf numFmtId="49" fontId="30" fillId="0" borderId="0" xfId="139" applyNumberFormat="1" applyFont="1" applyBorder="1" applyAlignment="1">
      <alignment horizontal="left" wrapText="1"/>
      <protection/>
    </xf>
    <xf numFmtId="49" fontId="18" fillId="0" borderId="22" xfId="139" applyNumberFormat="1" applyFont="1" applyBorder="1" applyAlignment="1">
      <alignment horizontal="left"/>
      <protection/>
    </xf>
    <xf numFmtId="49" fontId="6" fillId="0" borderId="43" xfId="139" applyNumberFormat="1" applyFont="1" applyBorder="1" applyAlignment="1">
      <alignment horizontal="center" vertical="center" wrapText="1"/>
      <protection/>
    </xf>
    <xf numFmtId="49" fontId="19" fillId="0" borderId="0" xfId="139" applyNumberFormat="1" applyFont="1" applyAlignment="1">
      <alignment horizontal="center"/>
      <protection/>
    </xf>
    <xf numFmtId="49" fontId="7" fillId="0" borderId="0" xfId="139" applyNumberFormat="1" applyFont="1" applyAlignment="1">
      <alignment horizontal="left"/>
      <protection/>
    </xf>
    <xf numFmtId="49" fontId="13" fillId="0" borderId="0" xfId="139" applyNumberFormat="1" applyFont="1" applyBorder="1" applyAlignment="1">
      <alignment horizontal="left"/>
      <protection/>
    </xf>
    <xf numFmtId="49" fontId="7" fillId="0" borderId="26" xfId="139" applyNumberFormat="1" applyFont="1" applyBorder="1" applyAlignment="1">
      <alignment horizontal="center" vertical="center" wrapText="1"/>
      <protection/>
    </xf>
    <xf numFmtId="49" fontId="7" fillId="0" borderId="25" xfId="139" applyNumberFormat="1" applyFont="1" applyBorder="1" applyAlignment="1">
      <alignment horizontal="center" vertical="center" wrapText="1"/>
      <protection/>
    </xf>
    <xf numFmtId="49" fontId="4" fillId="0" borderId="0" xfId="139" applyNumberFormat="1" applyFont="1" applyAlignment="1">
      <alignment/>
      <protection/>
    </xf>
    <xf numFmtId="49" fontId="0" fillId="0" borderId="0" xfId="139" applyNumberFormat="1" applyFont="1" applyBorder="1" applyAlignment="1">
      <alignment horizontal="left"/>
      <protection/>
    </xf>
    <xf numFmtId="49" fontId="19" fillId="0" borderId="26" xfId="139" applyNumberFormat="1" applyFont="1" applyBorder="1" applyAlignment="1">
      <alignment horizontal="center" vertical="center" wrapText="1"/>
      <protection/>
    </xf>
    <xf numFmtId="49" fontId="19" fillId="0" borderId="25" xfId="139" applyNumberFormat="1" applyFont="1" applyBorder="1" applyAlignment="1">
      <alignment horizontal="center" vertical="center" wrapText="1"/>
      <protection/>
    </xf>
    <xf numFmtId="49" fontId="89" fillId="3" borderId="26" xfId="139" applyNumberFormat="1" applyFont="1" applyFill="1" applyBorder="1" applyAlignment="1">
      <alignment horizontal="center" vertical="center" wrapText="1"/>
      <protection/>
    </xf>
    <xf numFmtId="49" fontId="89" fillId="3" borderId="25" xfId="139" applyNumberFormat="1" applyFont="1" applyFill="1" applyBorder="1" applyAlignment="1">
      <alignment horizontal="center" vertical="center" wrapText="1"/>
      <protection/>
    </xf>
    <xf numFmtId="49" fontId="88" fillId="3" borderId="26" xfId="139" applyNumberFormat="1" applyFont="1" applyFill="1" applyBorder="1" applyAlignment="1">
      <alignment horizontal="center" vertical="center" wrapText="1"/>
      <protection/>
    </xf>
    <xf numFmtId="49" fontId="88" fillId="3" borderId="25" xfId="139" applyNumberFormat="1" applyFont="1" applyFill="1" applyBorder="1" applyAlignment="1">
      <alignment horizontal="center" vertical="center" wrapText="1"/>
      <protection/>
    </xf>
    <xf numFmtId="49" fontId="6" fillId="0" borderId="35" xfId="139" applyNumberFormat="1" applyFont="1" applyFill="1" applyBorder="1" applyAlignment="1">
      <alignment horizontal="center" vertical="center" wrapText="1"/>
      <protection/>
    </xf>
    <xf numFmtId="49" fontId="6" fillId="0" borderId="36" xfId="139" applyNumberFormat="1" applyFont="1" applyFill="1" applyBorder="1" applyAlignment="1">
      <alignment horizontal="center" vertical="center" wrapText="1"/>
      <protection/>
    </xf>
    <xf numFmtId="49" fontId="6" fillId="0" borderId="24" xfId="139" applyNumberFormat="1" applyFont="1" applyFill="1" applyBorder="1" applyAlignment="1">
      <alignment horizontal="center" vertical="center" wrapText="1"/>
      <protection/>
    </xf>
    <xf numFmtId="49" fontId="6" fillId="0" borderId="42" xfId="139" applyNumberFormat="1" applyFont="1" applyFill="1" applyBorder="1" applyAlignment="1">
      <alignment horizontal="center" vertical="center" wrapText="1"/>
      <protection/>
    </xf>
    <xf numFmtId="49" fontId="6" fillId="0" borderId="27" xfId="139" applyNumberFormat="1" applyFont="1" applyFill="1" applyBorder="1" applyAlignment="1">
      <alignment horizontal="center" vertical="center" wrapText="1"/>
      <protection/>
    </xf>
    <xf numFmtId="49" fontId="6" fillId="0" borderId="37" xfId="139" applyNumberFormat="1" applyFont="1" applyFill="1" applyBorder="1" applyAlignment="1">
      <alignment horizontal="center" vertical="center" wrapText="1"/>
      <protection/>
    </xf>
    <xf numFmtId="49" fontId="6" fillId="0" borderId="43" xfId="139" applyNumberFormat="1" applyFont="1" applyFill="1" applyBorder="1" applyAlignment="1">
      <alignment horizontal="center" vertical="center" wrapText="1"/>
      <protection/>
    </xf>
    <xf numFmtId="49" fontId="6" fillId="47" borderId="26" xfId="139" applyNumberFormat="1" applyFont="1" applyFill="1" applyBorder="1" applyAlignment="1">
      <alignment horizontal="center" vertical="center"/>
      <protection/>
    </xf>
    <xf numFmtId="49" fontId="6" fillId="47" borderId="25" xfId="139" applyNumberFormat="1" applyFont="1" applyFill="1" applyBorder="1" applyAlignment="1">
      <alignment horizontal="center" vertical="center"/>
      <protection/>
    </xf>
    <xf numFmtId="49" fontId="88" fillId="3" borderId="26" xfId="139" applyNumberFormat="1" applyFont="1" applyFill="1" applyBorder="1" applyAlignment="1">
      <alignment horizontal="center" vertical="center"/>
      <protection/>
    </xf>
    <xf numFmtId="49" fontId="88" fillId="3" borderId="25" xfId="139" applyNumberFormat="1" applyFont="1" applyFill="1" applyBorder="1" applyAlignment="1">
      <alignment horizontal="center" vertical="center"/>
      <protection/>
    </xf>
    <xf numFmtId="49" fontId="0" fillId="0" borderId="0" xfId="139" applyNumberFormat="1" applyFont="1" applyFill="1" applyAlignment="1">
      <alignment horizontal="left"/>
      <protection/>
    </xf>
    <xf numFmtId="49" fontId="19" fillId="0" borderId="26" xfId="139" applyNumberFormat="1" applyFont="1" applyFill="1" applyBorder="1" applyAlignment="1">
      <alignment horizontal="center" vertical="center"/>
      <protection/>
    </xf>
    <xf numFmtId="49" fontId="19" fillId="0" borderId="25" xfId="139" applyNumberFormat="1" applyFont="1" applyFill="1" applyBorder="1" applyAlignment="1">
      <alignment horizontal="center" vertical="center"/>
      <protection/>
    </xf>
    <xf numFmtId="0" fontId="81" fillId="0" borderId="43" xfId="139" applyFont="1" applyFill="1" applyBorder="1" applyAlignment="1">
      <alignment horizontal="center" vertical="center" wrapText="1"/>
      <protection/>
    </xf>
    <xf numFmtId="0" fontId="81" fillId="0" borderId="25" xfId="139" applyFont="1" applyFill="1" applyBorder="1" applyAlignment="1">
      <alignment horizontal="center" vertical="center" wrapText="1"/>
      <protection/>
    </xf>
    <xf numFmtId="49" fontId="28" fillId="0" borderId="0" xfId="139" applyNumberFormat="1" applyFont="1" applyAlignment="1">
      <alignment horizontal="center"/>
      <protection/>
    </xf>
    <xf numFmtId="49" fontId="89" fillId="3" borderId="26" xfId="139" applyNumberFormat="1" applyFont="1" applyFill="1" applyBorder="1" applyAlignment="1">
      <alignment horizontal="center" vertical="center"/>
      <protection/>
    </xf>
    <xf numFmtId="49" fontId="89" fillId="3" borderId="25" xfId="139" applyNumberFormat="1" applyFont="1" applyFill="1" applyBorder="1" applyAlignment="1">
      <alignment horizontal="center" vertical="center"/>
      <protection/>
    </xf>
    <xf numFmtId="49" fontId="18" fillId="0" borderId="0" xfId="139" applyNumberFormat="1" applyFont="1" applyFill="1" applyBorder="1" applyAlignment="1">
      <alignment horizontal="left"/>
      <protection/>
    </xf>
    <xf numFmtId="49" fontId="13" fillId="0" borderId="22" xfId="139" applyNumberFormat="1" applyFont="1" applyFill="1" applyBorder="1" applyAlignment="1">
      <alignment horizontal="center" vertical="center"/>
      <protection/>
    </xf>
    <xf numFmtId="0" fontId="25" fillId="0" borderId="0" xfId="139" applyFont="1" applyAlignment="1">
      <alignment horizontal="center"/>
      <protection/>
    </xf>
    <xf numFmtId="0" fontId="7" fillId="0" borderId="20" xfId="139" applyFont="1" applyFill="1" applyBorder="1" applyAlignment="1">
      <alignment horizontal="center" vertical="center" wrapText="1"/>
      <protection/>
    </xf>
    <xf numFmtId="0" fontId="28" fillId="47" borderId="0" xfId="139" applyFont="1" applyFill="1" applyBorder="1" applyAlignment="1">
      <alignment horizontal="center"/>
      <protection/>
    </xf>
    <xf numFmtId="49" fontId="7" fillId="0" borderId="35" xfId="139" applyNumberFormat="1" applyFont="1" applyFill="1" applyBorder="1" applyAlignment="1">
      <alignment horizontal="center" vertical="center"/>
      <protection/>
    </xf>
    <xf numFmtId="49" fontId="7" fillId="0" borderId="36" xfId="139" applyNumberFormat="1" applyFont="1" applyFill="1" applyBorder="1" applyAlignment="1">
      <alignment horizontal="center" vertical="center"/>
      <protection/>
    </xf>
    <xf numFmtId="49" fontId="7" fillId="0" borderId="24" xfId="139" applyNumberFormat="1" applyFont="1" applyFill="1" applyBorder="1" applyAlignment="1">
      <alignment horizontal="center" vertical="center"/>
      <protection/>
    </xf>
    <xf numFmtId="49" fontId="7" fillId="0" borderId="42" xfId="139" applyNumberFormat="1" applyFont="1" applyFill="1" applyBorder="1" applyAlignment="1">
      <alignment horizontal="center" vertical="center"/>
      <protection/>
    </xf>
    <xf numFmtId="49" fontId="7" fillId="0" borderId="27" xfId="139" applyNumberFormat="1" applyFont="1" applyFill="1" applyBorder="1" applyAlignment="1">
      <alignment horizontal="center" vertical="center"/>
      <protection/>
    </xf>
    <xf numFmtId="49" fontId="7" fillId="0" borderId="37" xfId="139" applyNumberFormat="1" applyFont="1" applyFill="1" applyBorder="1" applyAlignment="1">
      <alignment horizontal="center" vertical="center"/>
      <protection/>
    </xf>
    <xf numFmtId="0" fontId="18" fillId="0" borderId="0" xfId="139" applyFont="1" applyBorder="1" applyAlignment="1">
      <alignment horizontal="left"/>
      <protection/>
    </xf>
    <xf numFmtId="0" fontId="13" fillId="0" borderId="0" xfId="139" applyFont="1" applyAlignment="1">
      <alignment horizontal="center"/>
      <protection/>
    </xf>
    <xf numFmtId="49" fontId="30" fillId="0" borderId="0" xfId="139" applyNumberFormat="1" applyFont="1" applyBorder="1" applyAlignment="1">
      <alignment horizontal="justify" vertical="justify" wrapText="1"/>
      <protection/>
    </xf>
    <xf numFmtId="0" fontId="14" fillId="0" borderId="0" xfId="139" applyNumberFormat="1" applyFont="1" applyAlignment="1">
      <alignment horizontal="center"/>
      <protection/>
    </xf>
    <xf numFmtId="0" fontId="32" fillId="0" borderId="0" xfId="139" applyNumberFormat="1" applyFont="1" applyAlignment="1">
      <alignment horizontal="center"/>
      <protection/>
    </xf>
    <xf numFmtId="0" fontId="23" fillId="0" borderId="0" xfId="139" applyNumberFormat="1" applyFont="1" applyAlignment="1">
      <alignment horizontal="center"/>
      <protection/>
    </xf>
    <xf numFmtId="49" fontId="25" fillId="47" borderId="44" xfId="0" applyNumberFormat="1" applyFont="1" applyFill="1" applyBorder="1" applyAlignment="1">
      <alignment horizontal="center" vertical="center"/>
    </xf>
    <xf numFmtId="49" fontId="25" fillId="47" borderId="45" xfId="0" applyNumberFormat="1" applyFont="1" applyFill="1" applyBorder="1" applyAlignment="1">
      <alignment horizontal="center" vertical="center"/>
    </xf>
    <xf numFmtId="49" fontId="99" fillId="47" borderId="26" xfId="0" applyNumberFormat="1" applyFont="1" applyFill="1" applyBorder="1" applyAlignment="1">
      <alignment horizontal="left"/>
    </xf>
    <xf numFmtId="49" fontId="99" fillId="47" borderId="43" xfId="0" applyNumberFormat="1" applyFont="1" applyFill="1" applyBorder="1" applyAlignment="1">
      <alignment horizontal="left"/>
    </xf>
    <xf numFmtId="49" fontId="99"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6" fillId="0" borderId="0" xfId="0"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wrapText="1"/>
    </xf>
    <xf numFmtId="0" fontId="28" fillId="0" borderId="0" xfId="0" applyNumberFormat="1" applyFont="1" applyFill="1" applyAlignment="1">
      <alignment horizontal="center"/>
    </xf>
    <xf numFmtId="0" fontId="28" fillId="0" borderId="0" xfId="0" applyNumberFormat="1" applyFont="1" applyFill="1" applyAlignment="1">
      <alignment horizontal="center" wrapText="1"/>
    </xf>
    <xf numFmtId="0" fontId="12" fillId="0" borderId="47" xfId="0" applyNumberFormat="1" applyFont="1" applyFill="1" applyBorder="1" applyAlignment="1">
      <alignment horizontal="center" vertical="center" wrapText="1"/>
    </xf>
    <xf numFmtId="0" fontId="12" fillId="0" borderId="48"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49" fontId="102" fillId="0" borderId="49" xfId="0" applyNumberFormat="1" applyFont="1" applyFill="1" applyBorder="1" applyAlignment="1">
      <alignment horizontal="center"/>
    </xf>
    <xf numFmtId="49" fontId="24" fillId="0" borderId="20" xfId="0" applyNumberFormat="1" applyFont="1" applyFill="1" applyBorder="1" applyAlignment="1" applyProtection="1">
      <alignment horizontal="center" vertical="center" wrapText="1"/>
      <protection/>
    </xf>
    <xf numFmtId="194" fontId="23" fillId="0" borderId="0" xfId="93" applyNumberFormat="1" applyFont="1" applyFill="1" applyBorder="1" applyAlignment="1" applyProtection="1">
      <alignment horizontal="center" vertical="center"/>
      <protection/>
    </xf>
    <xf numFmtId="49" fontId="12" fillId="0" borderId="26" xfId="135" applyNumberFormat="1" applyFont="1" applyFill="1" applyBorder="1" applyAlignment="1">
      <alignment vertical="center" wrapText="1"/>
      <protection/>
    </xf>
    <xf numFmtId="49" fontId="12" fillId="0" borderId="25" xfId="135" applyNumberFormat="1" applyFont="1" applyFill="1" applyBorder="1" applyAlignment="1">
      <alignment vertical="center" wrapText="1"/>
      <protection/>
    </xf>
    <xf numFmtId="49" fontId="24" fillId="0" borderId="0" xfId="0" applyNumberFormat="1" applyFont="1" applyFill="1" applyAlignment="1">
      <alignment horizontal="left"/>
    </xf>
    <xf numFmtId="0" fontId="102" fillId="0" borderId="0" xfId="0" applyNumberFormat="1" applyFont="1" applyFill="1" applyBorder="1" applyAlignment="1">
      <alignment horizontal="center" wrapText="1"/>
    </xf>
    <xf numFmtId="49" fontId="12" fillId="0" borderId="0" xfId="0" applyNumberFormat="1" applyFont="1" applyFill="1" applyBorder="1" applyAlignment="1">
      <alignment horizontal="left" wrapText="1"/>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25" fillId="0" borderId="0" xfId="0" applyNumberFormat="1" applyFont="1" applyFill="1" applyAlignment="1">
      <alignment horizontal="center"/>
    </xf>
    <xf numFmtId="0" fontId="4" fillId="0" borderId="0" xfId="0" applyNumberFormat="1" applyFont="1" applyFill="1" applyAlignment="1">
      <alignment horizontal="left"/>
    </xf>
    <xf numFmtId="0" fontId="0" fillId="0" borderId="0" xfId="0" applyNumberFormat="1" applyFont="1" applyFill="1" applyAlignment="1">
      <alignment horizontal="center"/>
    </xf>
    <xf numFmtId="49" fontId="3" fillId="0" borderId="0" xfId="0" applyNumberFormat="1" applyFont="1" applyFill="1" applyAlignment="1">
      <alignment horizontal="center"/>
    </xf>
    <xf numFmtId="0" fontId="22" fillId="0" borderId="0" xfId="0" applyNumberFormat="1" applyFont="1" applyFill="1" applyAlignment="1">
      <alignment horizontal="center"/>
    </xf>
    <xf numFmtId="49" fontId="12" fillId="0" borderId="48"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1" fontId="12" fillId="0" borderId="48" xfId="0" applyNumberFormat="1" applyFont="1" applyFill="1" applyBorder="1" applyAlignment="1">
      <alignment horizontal="center" vertical="center"/>
    </xf>
    <xf numFmtId="49" fontId="12" fillId="0" borderId="48" xfId="0" applyNumberFormat="1" applyFont="1" applyFill="1" applyBorder="1" applyAlignment="1" applyProtection="1">
      <alignment horizontal="center" vertical="center" wrapText="1"/>
      <protection/>
    </xf>
    <xf numFmtId="49" fontId="12" fillId="0" borderId="20" xfId="0" applyNumberFormat="1" applyFont="1" applyFill="1" applyBorder="1" applyAlignment="1" applyProtection="1">
      <alignment horizontal="center" vertical="center" wrapText="1"/>
      <protection/>
    </xf>
    <xf numFmtId="0" fontId="12" fillId="0" borderId="0" xfId="0" applyNumberFormat="1" applyFont="1" applyFill="1" applyBorder="1" applyAlignment="1">
      <alignment horizontal="left" wrapText="1"/>
    </xf>
    <xf numFmtId="0" fontId="12" fillId="0" borderId="0" xfId="0" applyNumberFormat="1" applyFont="1" applyFill="1" applyBorder="1" applyAlignment="1">
      <alignment horizontal="center" wrapText="1"/>
    </xf>
    <xf numFmtId="49" fontId="73" fillId="0" borderId="39" xfId="0" applyNumberFormat="1" applyFont="1" applyFill="1" applyBorder="1" applyAlignment="1" applyProtection="1">
      <alignment horizontal="center" vertical="center" wrapText="1"/>
      <protection/>
    </xf>
    <xf numFmtId="49" fontId="73" fillId="0" borderId="20" xfId="0" applyNumberFormat="1" applyFont="1" applyFill="1" applyBorder="1" applyAlignment="1" applyProtection="1">
      <alignment horizontal="center" vertical="center" wrapText="1"/>
      <protection/>
    </xf>
    <xf numFmtId="0" fontId="7" fillId="0" borderId="0" xfId="0" applyNumberFormat="1" applyFont="1" applyFill="1" applyBorder="1" applyAlignment="1">
      <alignment horizontal="center" vertical="center"/>
    </xf>
    <xf numFmtId="49" fontId="24" fillId="0" borderId="50" xfId="0" applyNumberFormat="1" applyFont="1" applyFill="1" applyBorder="1" applyAlignment="1" applyProtection="1">
      <alignment horizontal="center" vertical="center" wrapText="1"/>
      <protection/>
    </xf>
    <xf numFmtId="49" fontId="24" fillId="0" borderId="38" xfId="0" applyNumberFormat="1" applyFont="1" applyFill="1" applyBorder="1" applyAlignment="1" applyProtection="1">
      <alignment horizontal="center" vertical="center" wrapText="1"/>
      <protection/>
    </xf>
    <xf numFmtId="0" fontId="4" fillId="0" borderId="0" xfId="0" applyNumberFormat="1" applyFont="1" applyFill="1" applyBorder="1" applyAlignment="1">
      <alignment horizontal="center" vertical="center"/>
    </xf>
    <xf numFmtId="49" fontId="4" fillId="0" borderId="0" xfId="0" applyNumberFormat="1" applyFont="1" applyFill="1" applyAlignment="1">
      <alignment horizontal="left"/>
    </xf>
    <xf numFmtId="0" fontId="7" fillId="0" borderId="0" xfId="0" applyNumberFormat="1" applyFont="1" applyFill="1" applyBorder="1" applyAlignment="1">
      <alignment horizontal="left" wrapText="1"/>
    </xf>
    <xf numFmtId="0" fontId="25" fillId="0" borderId="0" xfId="0" applyNumberFormat="1" applyFont="1" applyFill="1" applyBorder="1" applyAlignment="1">
      <alignment horizontal="center" vertical="center"/>
    </xf>
    <xf numFmtId="0" fontId="30" fillId="0" borderId="0" xfId="0" applyNumberFormat="1" applyFont="1" applyFill="1" applyBorder="1" applyAlignment="1">
      <alignment horizontal="center" wrapText="1"/>
    </xf>
    <xf numFmtId="0" fontId="28" fillId="0" borderId="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20" xfId="0" applyNumberFormat="1" applyFont="1" applyFill="1" applyBorder="1" applyAlignment="1" applyProtection="1">
      <alignment horizontal="center" vertical="center" wrapText="1"/>
      <protection/>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2" fillId="0" borderId="0" xfId="0" applyNumberFormat="1" applyFont="1" applyFill="1" applyAlignment="1">
      <alignment horizontal="center"/>
    </xf>
    <xf numFmtId="49" fontId="7" fillId="0" borderId="21" xfId="0" applyNumberFormat="1" applyFont="1" applyFill="1" applyBorder="1" applyAlignment="1">
      <alignment vertical="center" wrapText="1"/>
    </xf>
    <xf numFmtId="49" fontId="7" fillId="0" borderId="40" xfId="0" applyNumberFormat="1" applyFont="1" applyFill="1" applyBorder="1" applyAlignment="1">
      <alignment vertical="center" wrapText="1"/>
    </xf>
    <xf numFmtId="49" fontId="7" fillId="0" borderId="23" xfId="0" applyNumberFormat="1" applyFont="1" applyFill="1" applyBorder="1" applyAlignment="1">
      <alignment vertical="center" wrapText="1"/>
    </xf>
    <xf numFmtId="1" fontId="7" fillId="0" borderId="20" xfId="0" applyNumberFormat="1" applyFont="1" applyFill="1" applyBorder="1" applyAlignment="1">
      <alignment horizontal="center" vertical="center"/>
    </xf>
    <xf numFmtId="49" fontId="7" fillId="0" borderId="0" xfId="0" applyNumberFormat="1" applyFont="1" applyFill="1" applyBorder="1" applyAlignment="1">
      <alignment horizontal="left" wrapText="1"/>
    </xf>
    <xf numFmtId="49" fontId="7" fillId="35" borderId="39" xfId="0" applyNumberFormat="1" applyFont="1" applyFill="1" applyBorder="1" applyAlignment="1" applyProtection="1">
      <alignment horizontal="center" vertical="center" wrapText="1"/>
      <protection/>
    </xf>
    <xf numFmtId="49" fontId="7" fillId="35" borderId="20" xfId="0" applyNumberFormat="1" applyFont="1" applyFill="1" applyBorder="1" applyAlignment="1" applyProtection="1">
      <alignment horizontal="center" vertical="center" wrapText="1"/>
      <protection/>
    </xf>
    <xf numFmtId="0" fontId="28" fillId="0" borderId="0" xfId="0" applyNumberFormat="1" applyFont="1" applyFill="1" applyAlignment="1">
      <alignment horizontal="left"/>
    </xf>
    <xf numFmtId="194" fontId="18" fillId="0" borderId="19" xfId="93" applyNumberFormat="1"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wrapText="1"/>
      <protection/>
    </xf>
    <xf numFmtId="49" fontId="16" fillId="0" borderId="39"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9" fontId="6" fillId="10" borderId="0" xfId="0" applyNumberFormat="1" applyFont="1" applyFill="1" applyAlignment="1">
      <alignment vertical="center"/>
    </xf>
    <xf numFmtId="219" fontId="6" fillId="10" borderId="0" xfId="0" applyNumberFormat="1" applyFont="1" applyFill="1" applyAlignment="1">
      <alignment vertical="center"/>
    </xf>
    <xf numFmtId="9" fontId="6" fillId="53" borderId="0" xfId="0" applyNumberFormat="1" applyFont="1" applyFill="1" applyAlignment="1">
      <alignment vertical="center"/>
    </xf>
    <xf numFmtId="219" fontId="6" fillId="53" borderId="0" xfId="0" applyNumberFormat="1" applyFont="1" applyFill="1" applyAlignment="1">
      <alignment vertical="center"/>
    </xf>
  </cellXfs>
  <cellStyles count="145">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urrency" xfId="96"/>
    <cellStyle name="Currency [0]" xfId="97"/>
    <cellStyle name="Check Cell" xfId="98"/>
    <cellStyle name="Check Cell 2" xfId="99"/>
    <cellStyle name="Check Cell 3"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C_thong_ke_theo_TT01_BTP" xfId="137"/>
    <cellStyle name="Normal_Bieu 8 - Bieu 19 toan tinh" xfId="138"/>
    <cellStyle name="Normal_Bieu mau TK tu 11 den 19 (ban phat hanh)" xfId="139"/>
    <cellStyle name="Note" xfId="140"/>
    <cellStyle name="Note 2" xfId="141"/>
    <cellStyle name="Note 3" xfId="142"/>
    <cellStyle name="Output" xfId="143"/>
    <cellStyle name="Output 2" xfId="144"/>
    <cellStyle name="Output 3" xfId="145"/>
    <cellStyle name="Percent" xfId="146"/>
    <cellStyle name="Percent 2" xfId="147"/>
    <cellStyle name="Percent 2 2" xfId="148"/>
    <cellStyle name="Percent 3" xfId="149"/>
    <cellStyle name="Title" xfId="150"/>
    <cellStyle name="Title 2" xfId="151"/>
    <cellStyle name="Title 3" xfId="152"/>
    <cellStyle name="Total" xfId="153"/>
    <cellStyle name="Total 2" xfId="154"/>
    <cellStyle name="Total 3" xfId="155"/>
    <cellStyle name="Warning Text" xfId="156"/>
    <cellStyle name="Warning Text 2" xfId="157"/>
    <cellStyle name="Warning Text 3"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716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716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55" t="s">
        <v>26</v>
      </c>
      <c r="B1" s="555"/>
      <c r="C1" s="561" t="s">
        <v>70</v>
      </c>
      <c r="D1" s="561"/>
      <c r="E1" s="561"/>
      <c r="F1" s="556" t="s">
        <v>66</v>
      </c>
      <c r="G1" s="556"/>
      <c r="H1" s="556"/>
    </row>
    <row r="2" spans="1:8" ht="33.75" customHeight="1">
      <c r="A2" s="557" t="s">
        <v>73</v>
      </c>
      <c r="B2" s="557"/>
      <c r="C2" s="561"/>
      <c r="D2" s="561"/>
      <c r="E2" s="561"/>
      <c r="F2" s="558" t="s">
        <v>67</v>
      </c>
      <c r="G2" s="558"/>
      <c r="H2" s="558"/>
    </row>
    <row r="3" spans="1:8" ht="19.5" customHeight="1">
      <c r="A3" s="6" t="s">
        <v>61</v>
      </c>
      <c r="B3" s="6"/>
      <c r="C3" s="24"/>
      <c r="D3" s="24"/>
      <c r="E3" s="24"/>
      <c r="F3" s="558" t="s">
        <v>68</v>
      </c>
      <c r="G3" s="558"/>
      <c r="H3" s="558"/>
    </row>
    <row r="4" spans="1:8" s="7" customFormat="1" ht="19.5" customHeight="1">
      <c r="A4" s="6"/>
      <c r="B4" s="6"/>
      <c r="D4" s="8"/>
      <c r="F4" s="9" t="s">
        <v>69</v>
      </c>
      <c r="G4" s="9"/>
      <c r="H4" s="9"/>
    </row>
    <row r="5" spans="1:8" s="23" customFormat="1" ht="36" customHeight="1">
      <c r="A5" s="574" t="s">
        <v>53</v>
      </c>
      <c r="B5" s="575"/>
      <c r="C5" s="578" t="s">
        <v>64</v>
      </c>
      <c r="D5" s="579"/>
      <c r="E5" s="580" t="s">
        <v>63</v>
      </c>
      <c r="F5" s="580"/>
      <c r="G5" s="580"/>
      <c r="H5" s="560"/>
    </row>
    <row r="6" spans="1:8" s="23" customFormat="1" ht="20.25" customHeight="1">
      <c r="A6" s="576"/>
      <c r="B6" s="577"/>
      <c r="C6" s="562" t="s">
        <v>3</v>
      </c>
      <c r="D6" s="562" t="s">
        <v>71</v>
      </c>
      <c r="E6" s="559" t="s">
        <v>65</v>
      </c>
      <c r="F6" s="560"/>
      <c r="G6" s="559" t="s">
        <v>72</v>
      </c>
      <c r="H6" s="560"/>
    </row>
    <row r="7" spans="1:8" s="23" customFormat="1" ht="52.5" customHeight="1">
      <c r="A7" s="576"/>
      <c r="B7" s="577"/>
      <c r="C7" s="563"/>
      <c r="D7" s="563"/>
      <c r="E7" s="5" t="s">
        <v>3</v>
      </c>
      <c r="F7" s="5" t="s">
        <v>9</v>
      </c>
      <c r="G7" s="5" t="s">
        <v>3</v>
      </c>
      <c r="H7" s="5" t="s">
        <v>9</v>
      </c>
    </row>
    <row r="8" spans="1:8" ht="15" customHeight="1">
      <c r="A8" s="565" t="s">
        <v>6</v>
      </c>
      <c r="B8" s="566"/>
      <c r="C8" s="10">
        <v>1</v>
      </c>
      <c r="D8" s="10" t="s">
        <v>44</v>
      </c>
      <c r="E8" s="10" t="s">
        <v>45</v>
      </c>
      <c r="F8" s="10" t="s">
        <v>54</v>
      </c>
      <c r="G8" s="10" t="s">
        <v>55</v>
      </c>
      <c r="H8" s="10" t="s">
        <v>56</v>
      </c>
    </row>
    <row r="9" spans="1:8" ht="26.25" customHeight="1">
      <c r="A9" s="567" t="s">
        <v>33</v>
      </c>
      <c r="B9" s="568"/>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69" t="s">
        <v>52</v>
      </c>
      <c r="C16" s="569"/>
      <c r="D16" s="26"/>
      <c r="E16" s="571" t="s">
        <v>19</v>
      </c>
      <c r="F16" s="571"/>
      <c r="G16" s="571"/>
      <c r="H16" s="571"/>
    </row>
    <row r="17" spans="2:8" ht="15.75" customHeight="1">
      <c r="B17" s="569"/>
      <c r="C17" s="569"/>
      <c r="D17" s="26"/>
      <c r="E17" s="572" t="s">
        <v>38</v>
      </c>
      <c r="F17" s="572"/>
      <c r="G17" s="572"/>
      <c r="H17" s="572"/>
    </row>
    <row r="18" spans="2:8" s="27" customFormat="1" ht="15.75" customHeight="1">
      <c r="B18" s="569"/>
      <c r="C18" s="569"/>
      <c r="D18" s="28"/>
      <c r="E18" s="573" t="s">
        <v>51</v>
      </c>
      <c r="F18" s="573"/>
      <c r="G18" s="573"/>
      <c r="H18" s="573"/>
    </row>
    <row r="20" ht="15.75">
      <c r="B20" s="19"/>
    </row>
    <row r="22" ht="15.75" hidden="1">
      <c r="A22" s="20" t="s">
        <v>41</v>
      </c>
    </row>
    <row r="23" spans="1:3" ht="15.75" hidden="1">
      <c r="A23" s="21"/>
      <c r="B23" s="570" t="s">
        <v>46</v>
      </c>
      <c r="C23" s="570"/>
    </row>
    <row r="24" spans="1:8" ht="15.75" customHeight="1" hidden="1">
      <c r="A24" s="22" t="s">
        <v>25</v>
      </c>
      <c r="B24" s="564" t="s">
        <v>49</v>
      </c>
      <c r="C24" s="564"/>
      <c r="D24" s="22"/>
      <c r="E24" s="22"/>
      <c r="F24" s="22"/>
      <c r="G24" s="22"/>
      <c r="H24" s="22"/>
    </row>
    <row r="25" spans="1:8" ht="15" customHeight="1" hidden="1">
      <c r="A25" s="22"/>
      <c r="B25" s="564" t="s">
        <v>50</v>
      </c>
      <c r="C25" s="564"/>
      <c r="D25" s="564"/>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56" t="s">
        <v>212</v>
      </c>
      <c r="B1" s="756"/>
      <c r="C1" s="756"/>
      <c r="D1" s="759" t="s">
        <v>328</v>
      </c>
      <c r="E1" s="759"/>
      <c r="F1" s="759"/>
      <c r="G1" s="759"/>
      <c r="H1" s="759"/>
      <c r="I1" s="759"/>
      <c r="J1" s="191" t="s">
        <v>329</v>
      </c>
      <c r="K1" s="322"/>
      <c r="L1" s="322"/>
    </row>
    <row r="2" spans="1:12" ht="18.75" customHeight="1">
      <c r="A2" s="757" t="s">
        <v>287</v>
      </c>
      <c r="B2" s="757"/>
      <c r="C2" s="757"/>
      <c r="D2" s="847" t="s">
        <v>213</v>
      </c>
      <c r="E2" s="847"/>
      <c r="F2" s="847"/>
      <c r="G2" s="847"/>
      <c r="H2" s="847"/>
      <c r="I2" s="847"/>
      <c r="J2" s="756" t="s">
        <v>330</v>
      </c>
      <c r="K2" s="756"/>
      <c r="L2" s="756"/>
    </row>
    <row r="3" spans="1:12" ht="17.25">
      <c r="A3" s="757" t="s">
        <v>239</v>
      </c>
      <c r="B3" s="757"/>
      <c r="C3" s="757"/>
      <c r="D3" s="848" t="s">
        <v>331</v>
      </c>
      <c r="E3" s="849"/>
      <c r="F3" s="849"/>
      <c r="G3" s="849"/>
      <c r="H3" s="849"/>
      <c r="I3" s="849"/>
      <c r="J3" s="194" t="s">
        <v>347</v>
      </c>
      <c r="K3" s="194"/>
      <c r="L3" s="194"/>
    </row>
    <row r="4" spans="1:12" ht="15.75">
      <c r="A4" s="844" t="s">
        <v>332</v>
      </c>
      <c r="B4" s="844"/>
      <c r="C4" s="844"/>
      <c r="D4" s="845"/>
      <c r="E4" s="845"/>
      <c r="F4" s="845"/>
      <c r="G4" s="845"/>
      <c r="H4" s="845"/>
      <c r="I4" s="845"/>
      <c r="J4" s="772" t="s">
        <v>289</v>
      </c>
      <c r="K4" s="772"/>
      <c r="L4" s="772"/>
    </row>
    <row r="5" spans="1:13" ht="15.75">
      <c r="A5" s="324"/>
      <c r="B5" s="324"/>
      <c r="C5" s="325"/>
      <c r="D5" s="325"/>
      <c r="E5" s="193"/>
      <c r="J5" s="326" t="s">
        <v>333</v>
      </c>
      <c r="K5" s="241"/>
      <c r="L5" s="241"/>
      <c r="M5" s="241"/>
    </row>
    <row r="6" spans="1:13" s="329" customFormat="1" ht="24.75" customHeight="1">
      <c r="A6" s="838" t="s">
        <v>53</v>
      </c>
      <c r="B6" s="839"/>
      <c r="C6" s="836" t="s">
        <v>334</v>
      </c>
      <c r="D6" s="836"/>
      <c r="E6" s="836"/>
      <c r="F6" s="836"/>
      <c r="G6" s="836"/>
      <c r="H6" s="836"/>
      <c r="I6" s="836" t="s">
        <v>214</v>
      </c>
      <c r="J6" s="836"/>
      <c r="K6" s="836"/>
      <c r="L6" s="836"/>
      <c r="M6" s="328"/>
    </row>
    <row r="7" spans="1:13" s="329" customFormat="1" ht="17.25" customHeight="1">
      <c r="A7" s="840"/>
      <c r="B7" s="841"/>
      <c r="C7" s="836" t="s">
        <v>31</v>
      </c>
      <c r="D7" s="836"/>
      <c r="E7" s="836" t="s">
        <v>7</v>
      </c>
      <c r="F7" s="836"/>
      <c r="G7" s="836"/>
      <c r="H7" s="836"/>
      <c r="I7" s="836" t="s">
        <v>215</v>
      </c>
      <c r="J7" s="836"/>
      <c r="K7" s="836" t="s">
        <v>216</v>
      </c>
      <c r="L7" s="836"/>
      <c r="M7" s="328"/>
    </row>
    <row r="8" spans="1:12" s="329" customFormat="1" ht="27.75" customHeight="1">
      <c r="A8" s="840"/>
      <c r="B8" s="841"/>
      <c r="C8" s="836"/>
      <c r="D8" s="836"/>
      <c r="E8" s="836" t="s">
        <v>217</v>
      </c>
      <c r="F8" s="836"/>
      <c r="G8" s="836" t="s">
        <v>218</v>
      </c>
      <c r="H8" s="836"/>
      <c r="I8" s="836"/>
      <c r="J8" s="836"/>
      <c r="K8" s="836"/>
      <c r="L8" s="836"/>
    </row>
    <row r="9" spans="1:12" s="329" customFormat="1" ht="24.75" customHeight="1">
      <c r="A9" s="842"/>
      <c r="B9" s="843"/>
      <c r="C9" s="327" t="s">
        <v>219</v>
      </c>
      <c r="D9" s="327" t="s">
        <v>9</v>
      </c>
      <c r="E9" s="327" t="s">
        <v>3</v>
      </c>
      <c r="F9" s="327" t="s">
        <v>220</v>
      </c>
      <c r="G9" s="327" t="s">
        <v>3</v>
      </c>
      <c r="H9" s="327" t="s">
        <v>220</v>
      </c>
      <c r="I9" s="327" t="s">
        <v>3</v>
      </c>
      <c r="J9" s="327" t="s">
        <v>220</v>
      </c>
      <c r="K9" s="327" t="s">
        <v>3</v>
      </c>
      <c r="L9" s="327" t="s">
        <v>220</v>
      </c>
    </row>
    <row r="10" spans="1:12" s="331" customFormat="1" ht="15.75">
      <c r="A10" s="740" t="s">
        <v>6</v>
      </c>
      <c r="B10" s="741"/>
      <c r="C10" s="330">
        <v>1</v>
      </c>
      <c r="D10" s="330">
        <v>2</v>
      </c>
      <c r="E10" s="330">
        <v>3</v>
      </c>
      <c r="F10" s="330">
        <v>4</v>
      </c>
      <c r="G10" s="330">
        <v>5</v>
      </c>
      <c r="H10" s="330">
        <v>6</v>
      </c>
      <c r="I10" s="330">
        <v>7</v>
      </c>
      <c r="J10" s="330">
        <v>8</v>
      </c>
      <c r="K10" s="330">
        <v>9</v>
      </c>
      <c r="L10" s="330">
        <v>10</v>
      </c>
    </row>
    <row r="11" spans="1:12" s="331" customFormat="1" ht="30.75" customHeight="1">
      <c r="A11" s="748" t="s">
        <v>284</v>
      </c>
      <c r="B11" s="749"/>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53" t="s">
        <v>285</v>
      </c>
      <c r="B12" s="754"/>
      <c r="C12" s="249">
        <v>0</v>
      </c>
      <c r="D12" s="249">
        <v>0</v>
      </c>
      <c r="E12" s="249">
        <v>0</v>
      </c>
      <c r="F12" s="249">
        <v>0</v>
      </c>
      <c r="G12" s="249">
        <v>0</v>
      </c>
      <c r="H12" s="249">
        <v>0</v>
      </c>
      <c r="I12" s="249">
        <v>0</v>
      </c>
      <c r="J12" s="249">
        <v>0</v>
      </c>
      <c r="K12" s="249">
        <v>0</v>
      </c>
      <c r="L12" s="249">
        <v>0</v>
      </c>
    </row>
    <row r="13" spans="1:32" s="331" customFormat="1" ht="17.25" customHeight="1">
      <c r="A13" s="734" t="s">
        <v>30</v>
      </c>
      <c r="B13" s="735"/>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51" t="s">
        <v>272</v>
      </c>
      <c r="C28" s="751"/>
      <c r="D28" s="751"/>
      <c r="E28" s="204"/>
      <c r="F28" s="258"/>
      <c r="G28" s="258"/>
      <c r="H28" s="750" t="s">
        <v>272</v>
      </c>
      <c r="I28" s="750"/>
      <c r="J28" s="750"/>
      <c r="K28" s="750"/>
      <c r="L28" s="750"/>
      <c r="AG28" s="192" t="s">
        <v>273</v>
      </c>
      <c r="AI28" s="190">
        <f>82/88</f>
        <v>0.9318181818181818</v>
      </c>
    </row>
    <row r="29" spans="1:12" s="192" customFormat="1" ht="19.5" customHeight="1">
      <c r="A29" s="202"/>
      <c r="B29" s="752" t="s">
        <v>221</v>
      </c>
      <c r="C29" s="752"/>
      <c r="D29" s="752"/>
      <c r="E29" s="204"/>
      <c r="F29" s="205"/>
      <c r="G29" s="205"/>
      <c r="H29" s="755" t="s">
        <v>139</v>
      </c>
      <c r="I29" s="755"/>
      <c r="J29" s="755"/>
      <c r="K29" s="755"/>
      <c r="L29" s="755"/>
    </row>
    <row r="30" spans="1:12" s="196" customFormat="1" ht="15" customHeight="1">
      <c r="A30" s="202"/>
      <c r="B30" s="837"/>
      <c r="C30" s="837"/>
      <c r="D30" s="837"/>
      <c r="E30" s="204"/>
      <c r="F30" s="205"/>
      <c r="G30" s="205"/>
      <c r="H30" s="709"/>
      <c r="I30" s="709"/>
      <c r="J30" s="709"/>
      <c r="K30" s="709"/>
      <c r="L30" s="709"/>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35" t="s">
        <v>276</v>
      </c>
      <c r="C33" s="835"/>
      <c r="D33" s="835"/>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46" t="s">
        <v>222</v>
      </c>
      <c r="C37" s="846"/>
      <c r="D37" s="846"/>
      <c r="E37" s="846"/>
      <c r="F37" s="846"/>
      <c r="G37" s="846"/>
      <c r="H37" s="846"/>
      <c r="I37" s="846"/>
      <c r="J37" s="846"/>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81" t="s">
        <v>318</v>
      </c>
      <c r="C41" s="581"/>
      <c r="D41" s="581"/>
      <c r="E41" s="210"/>
      <c r="F41" s="210"/>
      <c r="G41" s="182"/>
      <c r="H41" s="582" t="s">
        <v>230</v>
      </c>
      <c r="I41" s="582"/>
      <c r="J41" s="582"/>
      <c r="K41" s="582"/>
      <c r="L41" s="582"/>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50" t="s">
        <v>360</v>
      </c>
      <c r="M1" s="851"/>
      <c r="N1" s="851"/>
      <c r="O1" s="365"/>
      <c r="P1" s="365"/>
      <c r="Q1" s="365"/>
      <c r="R1" s="365"/>
      <c r="S1" s="365"/>
      <c r="T1" s="365"/>
      <c r="U1" s="365"/>
      <c r="V1" s="365"/>
      <c r="W1" s="365"/>
      <c r="X1" s="365"/>
      <c r="Y1" s="366"/>
    </row>
    <row r="2" spans="11:17" ht="34.5" customHeight="1">
      <c r="K2" s="349"/>
      <c r="L2" s="852" t="s">
        <v>367</v>
      </c>
      <c r="M2" s="853"/>
      <c r="N2" s="854"/>
      <c r="O2" s="29"/>
      <c r="P2" s="351"/>
      <c r="Q2" s="347"/>
    </row>
    <row r="3" spans="11:18" ht="31.5" customHeight="1">
      <c r="K3" s="349"/>
      <c r="L3" s="354" t="s">
        <v>376</v>
      </c>
      <c r="M3" s="355">
        <f>'06'!C11</f>
        <v>2264</v>
      </c>
      <c r="N3" s="355"/>
      <c r="O3" s="355"/>
      <c r="P3" s="352"/>
      <c r="Q3" s="348"/>
      <c r="R3" s="345"/>
    </row>
    <row r="4" spans="11:18" ht="30" customHeight="1">
      <c r="K4" s="349"/>
      <c r="L4" s="356" t="s">
        <v>361</v>
      </c>
      <c r="M4" s="357">
        <f>'06'!D11</f>
        <v>1580</v>
      </c>
      <c r="N4" s="355"/>
      <c r="O4" s="355"/>
      <c r="P4" s="352"/>
      <c r="Q4" s="348"/>
      <c r="R4" s="345"/>
    </row>
    <row r="5" spans="11:18" ht="31.5" customHeight="1">
      <c r="K5" s="349"/>
      <c r="L5" s="356" t="s">
        <v>362</v>
      </c>
      <c r="M5" s="357">
        <f>'06'!E11</f>
        <v>684</v>
      </c>
      <c r="N5" s="355"/>
      <c r="O5" s="355"/>
      <c r="P5" s="352"/>
      <c r="Q5" s="348"/>
      <c r="R5" s="345"/>
    </row>
    <row r="6" spans="11:18" ht="27" customHeight="1">
      <c r="K6" s="349"/>
      <c r="L6" s="354" t="s">
        <v>363</v>
      </c>
      <c r="M6" s="355">
        <f>'06'!F11</f>
        <v>5</v>
      </c>
      <c r="N6" s="355"/>
      <c r="O6" s="355"/>
      <c r="P6" s="352"/>
      <c r="Q6" s="348"/>
      <c r="R6" s="345"/>
    </row>
    <row r="7" spans="11:18" s="342" customFormat="1" ht="30" customHeight="1">
      <c r="K7" s="350"/>
      <c r="L7" s="358" t="s">
        <v>379</v>
      </c>
      <c r="M7" s="355">
        <f>'06'!H11</f>
        <v>2259</v>
      </c>
      <c r="N7" s="355"/>
      <c r="O7" s="355"/>
      <c r="P7" s="352"/>
      <c r="Q7" s="348"/>
      <c r="R7" s="345"/>
    </row>
    <row r="8" spans="11:18" ht="30.75" customHeight="1">
      <c r="K8" s="349"/>
      <c r="L8" s="359" t="s">
        <v>378</v>
      </c>
      <c r="M8" s="360">
        <f>'[7]M6 Tong hop Viec CHV '!$C$12</f>
        <v>1489</v>
      </c>
      <c r="N8" s="355"/>
      <c r="O8" s="355"/>
      <c r="P8" s="352"/>
      <c r="Q8" s="348"/>
      <c r="R8" s="345"/>
    </row>
    <row r="9" spans="11:18" ht="33" customHeight="1">
      <c r="K9" s="349"/>
      <c r="L9" s="367" t="s">
        <v>381</v>
      </c>
      <c r="M9" s="368">
        <f>(M7-M8)/M8</f>
        <v>0.5171255876427132</v>
      </c>
      <c r="N9" s="355"/>
      <c r="O9" s="355"/>
      <c r="P9" s="352"/>
      <c r="Q9" s="348"/>
      <c r="R9" s="345"/>
    </row>
    <row r="10" spans="11:18" ht="33" customHeight="1">
      <c r="K10" s="349"/>
      <c r="L10" s="354" t="s">
        <v>380</v>
      </c>
      <c r="M10" s="355">
        <f>'06'!I11</f>
        <v>997</v>
      </c>
      <c r="N10" s="355" t="s">
        <v>364</v>
      </c>
      <c r="O10" s="361">
        <f>M10/M7</f>
        <v>0.44134572819831785</v>
      </c>
      <c r="P10" s="352"/>
      <c r="Q10" s="348"/>
      <c r="R10" s="345"/>
    </row>
    <row r="11" spans="11:18" ht="22.5" customHeight="1">
      <c r="K11" s="349"/>
      <c r="L11" s="354" t="s">
        <v>382</v>
      </c>
      <c r="M11" s="355">
        <f>'06'!Q11</f>
        <v>1262</v>
      </c>
      <c r="N11" s="355" t="s">
        <v>364</v>
      </c>
      <c r="O11" s="361">
        <f>M11/M7</f>
        <v>0.5586542718016821</v>
      </c>
      <c r="P11" s="352"/>
      <c r="Q11" s="348"/>
      <c r="R11" s="345"/>
    </row>
    <row r="12" spans="11:18" ht="34.5" customHeight="1">
      <c r="K12" s="349"/>
      <c r="L12" s="354" t="s">
        <v>383</v>
      </c>
      <c r="M12" s="355">
        <f>'06'!J11+'06'!K11</f>
        <v>429</v>
      </c>
      <c r="N12" s="354"/>
      <c r="O12" s="354"/>
      <c r="P12" s="346"/>
      <c r="R12" s="346"/>
    </row>
    <row r="13" spans="11:18" ht="33.75" customHeight="1">
      <c r="K13" s="349"/>
      <c r="L13" s="354" t="s">
        <v>384</v>
      </c>
      <c r="M13" s="361">
        <f>M12/M7</f>
        <v>0.1899070385126162</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385</v>
      </c>
      <c r="M16" s="360">
        <f>'[7]M6 Tong hop Viec CHV '!$H$12+'[7]M6 Tong hop Viec CHV '!$I$12+'[7]M6 Tong hop Viec CHV '!$K$12</f>
        <v>749</v>
      </c>
      <c r="N16" s="355"/>
      <c r="O16" s="355"/>
      <c r="P16" s="352"/>
      <c r="R16" s="346"/>
    </row>
    <row r="17" spans="11:18" ht="24.75" customHeight="1">
      <c r="K17" s="349"/>
      <c r="L17" s="367" t="s">
        <v>386</v>
      </c>
      <c r="M17" s="362">
        <f>M16/M8</f>
        <v>0.5030221625251847</v>
      </c>
      <c r="N17" s="355"/>
      <c r="O17" s="355"/>
      <c r="P17" s="352"/>
      <c r="R17" s="346"/>
    </row>
    <row r="18" spans="11:18" ht="26.25" customHeight="1">
      <c r="K18" s="349"/>
      <c r="L18" s="367" t="s">
        <v>365</v>
      </c>
      <c r="M18" s="368">
        <f>M13-M17</f>
        <v>-0.3131151240125685</v>
      </c>
      <c r="N18" s="355"/>
      <c r="O18" s="355"/>
      <c r="P18" s="352"/>
      <c r="R18" s="346"/>
    </row>
    <row r="19" spans="11:18" ht="24.75" customHeight="1">
      <c r="K19" s="349"/>
      <c r="L19" s="354" t="s">
        <v>387</v>
      </c>
      <c r="M19" s="355">
        <f>'06'!J11</f>
        <v>418</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388</v>
      </c>
      <c r="M26" s="361">
        <f>M19/'06'!I11</f>
        <v>0.4192577733199599</v>
      </c>
      <c r="N26" s="355"/>
      <c r="O26" s="355"/>
      <c r="P26" s="352"/>
      <c r="R26" s="346"/>
    </row>
    <row r="27" spans="11:18" ht="24.75" customHeight="1">
      <c r="K27" s="349"/>
      <c r="L27" s="359" t="s">
        <v>389</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390</v>
      </c>
      <c r="M30" s="361">
        <f>M26-M27</f>
        <v>-0.25340409718363727</v>
      </c>
      <c r="N30" s="355"/>
      <c r="O30" s="355"/>
      <c r="P30" s="352"/>
      <c r="R30" s="346"/>
    </row>
    <row r="31" spans="11:18" ht="24.75" customHeight="1">
      <c r="K31" s="349"/>
      <c r="L31" s="354" t="s">
        <v>391</v>
      </c>
      <c r="M31" s="355">
        <f>'06'!R11</f>
        <v>1830</v>
      </c>
      <c r="N31" s="355"/>
      <c r="O31" s="355"/>
      <c r="P31" s="352"/>
      <c r="R31" s="346"/>
    </row>
    <row r="32" spans="11:18" ht="24.75" customHeight="1">
      <c r="K32" s="349"/>
      <c r="L32" s="359" t="s">
        <v>392</v>
      </c>
      <c r="M32" s="360">
        <f>'[7]M6 Tong hop Viec CHV '!$R$12</f>
        <v>719</v>
      </c>
      <c r="N32" s="355"/>
      <c r="O32" s="355"/>
      <c r="P32" s="352"/>
      <c r="R32" s="346"/>
    </row>
    <row r="33" spans="11:18" ht="24.75" customHeight="1">
      <c r="K33" s="349"/>
      <c r="L33" s="367" t="s">
        <v>393</v>
      </c>
      <c r="M33" s="369">
        <f>M31-M32</f>
        <v>1111</v>
      </c>
      <c r="N33" s="369" t="s">
        <v>366</v>
      </c>
      <c r="O33" s="368">
        <f>(M31-M32)/M32</f>
        <v>1.545201668984701</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394</v>
      </c>
      <c r="M42" s="355">
        <f>'07'!C11</f>
        <v>102844028</v>
      </c>
      <c r="N42" s="355"/>
      <c r="O42" s="355"/>
      <c r="P42" s="346"/>
      <c r="R42" s="346"/>
    </row>
    <row r="43" spans="11:18" ht="24.75" customHeight="1">
      <c r="K43" s="349"/>
      <c r="L43" s="363" t="s">
        <v>96</v>
      </c>
      <c r="M43" s="355">
        <f>'07'!D11</f>
        <v>95712620</v>
      </c>
      <c r="N43" s="355"/>
      <c r="O43" s="355"/>
      <c r="P43" s="346"/>
      <c r="R43" s="346"/>
    </row>
    <row r="44" spans="11:18" ht="24.75" customHeight="1">
      <c r="K44" s="349"/>
      <c r="L44" s="363" t="s">
        <v>362</v>
      </c>
      <c r="M44" s="355">
        <f>'07'!E11</f>
        <v>7131408</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395</v>
      </c>
      <c r="M47" s="355">
        <f>'07'!F11</f>
        <v>7669970</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396</v>
      </c>
      <c r="M50" s="355">
        <f>'07'!H11</f>
        <v>95174058</v>
      </c>
      <c r="N50" s="355"/>
      <c r="O50" s="355"/>
      <c r="P50" s="346"/>
      <c r="R50" s="346"/>
    </row>
    <row r="51" spans="11:18" ht="24.75" customHeight="1">
      <c r="K51" s="349"/>
      <c r="L51" s="364" t="s">
        <v>397</v>
      </c>
      <c r="M51" s="360">
        <f>'[7]M7 Thop tien CHV'!$C$12</f>
        <v>54227822.442</v>
      </c>
      <c r="N51" s="355"/>
      <c r="O51" s="355"/>
      <c r="P51" s="346"/>
      <c r="R51" s="346"/>
    </row>
    <row r="52" spans="11:18" ht="24.75" customHeight="1">
      <c r="K52" s="349"/>
      <c r="L52" s="377" t="s">
        <v>369</v>
      </c>
      <c r="M52" s="369">
        <f>M50-M51</f>
        <v>40946235.558</v>
      </c>
      <c r="N52" s="355"/>
      <c r="O52" s="355"/>
      <c r="P52" s="346"/>
      <c r="R52" s="346"/>
    </row>
    <row r="53" spans="11:18" ht="24.75" customHeight="1">
      <c r="K53" s="349"/>
      <c r="L53" s="377" t="s">
        <v>370</v>
      </c>
      <c r="M53" s="368">
        <f>(M52/M51)</f>
        <v>0.7550779971258208</v>
      </c>
      <c r="N53" s="355"/>
      <c r="O53" s="355"/>
      <c r="P53" s="346"/>
      <c r="R53" s="346"/>
    </row>
    <row r="54" spans="11:18" ht="24.75" customHeight="1">
      <c r="K54" s="349"/>
      <c r="L54" s="363" t="s">
        <v>398</v>
      </c>
      <c r="M54" s="355">
        <f>'07'!I11</f>
        <v>36624736</v>
      </c>
      <c r="N54" s="355" t="s">
        <v>371</v>
      </c>
      <c r="O54" s="361">
        <f>'07'!I11/'07'!H11</f>
        <v>0.384818476480219</v>
      </c>
      <c r="P54" s="346"/>
      <c r="R54" s="346"/>
    </row>
    <row r="55" spans="11:18" ht="24.75" customHeight="1">
      <c r="K55" s="349"/>
      <c r="L55" s="363" t="s">
        <v>399</v>
      </c>
      <c r="M55" s="355">
        <f>'07'!R11</f>
        <v>58549322</v>
      </c>
      <c r="N55" s="355" t="s">
        <v>371</v>
      </c>
      <c r="O55" s="361">
        <f>'07'!R11/'07'!H11</f>
        <v>0.615181523519781</v>
      </c>
      <c r="P55" s="346"/>
      <c r="R55" s="346"/>
    </row>
    <row r="56" spans="11:18" ht="24.75" customHeight="1">
      <c r="K56" s="349"/>
      <c r="L56" s="363" t="s">
        <v>400</v>
      </c>
      <c r="M56" s="355">
        <f>'07'!J11+'07'!K11+'07'!L11</f>
        <v>1708102</v>
      </c>
      <c r="N56" s="355" t="s">
        <v>371</v>
      </c>
      <c r="O56" s="361">
        <f>M56/'07'!H11</f>
        <v>0.017947138494399387</v>
      </c>
      <c r="P56" s="346"/>
      <c r="R56" s="346"/>
    </row>
    <row r="57" spans="11:18" ht="24.75" customHeight="1">
      <c r="K57" s="349"/>
      <c r="L57" s="364" t="s">
        <v>401</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402</v>
      </c>
      <c r="M60" s="368">
        <f>O56-O57</f>
        <v>-0.022949331253615948</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403</v>
      </c>
      <c r="M63" s="355">
        <f>'07'!J11</f>
        <v>1355279</v>
      </c>
      <c r="N63" s="355" t="s">
        <v>372</v>
      </c>
      <c r="O63" s="361">
        <f>'07'!J11/'07'!I11</f>
        <v>0.037004471513460195</v>
      </c>
      <c r="P63" s="346"/>
      <c r="R63" s="346"/>
    </row>
    <row r="64" spans="11:16" ht="24.75" customHeight="1">
      <c r="K64" s="349"/>
      <c r="L64" s="364" t="s">
        <v>404</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405</v>
      </c>
      <c r="M68" s="368">
        <f>O63-O64</f>
        <v>0.02276097019364654</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406</v>
      </c>
      <c r="M72" s="355">
        <f>'07'!S11</f>
        <v>93465956</v>
      </c>
      <c r="N72" s="355"/>
      <c r="O72" s="355"/>
      <c r="P72" s="346"/>
    </row>
    <row r="73" spans="11:16" ht="24.75" customHeight="1">
      <c r="K73" s="349"/>
      <c r="L73" s="364" t="s">
        <v>407</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f>M72-M73</f>
        <v>45339145.638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f>M76/M73</f>
        <v>0.9420766781959626</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00390625" defaultRowHeight="15.75"/>
  <cols>
    <col min="1" max="1" width="23.50390625" style="0" customWidth="1"/>
    <col min="2" max="2" width="66.125" style="0" customWidth="1"/>
  </cols>
  <sheetData>
    <row r="2" spans="1:2" ht="62.25" customHeight="1">
      <c r="A2" s="855" t="s">
        <v>421</v>
      </c>
      <c r="B2" s="855"/>
    </row>
    <row r="3" spans="1:2" ht="22.5" customHeight="1">
      <c r="A3" s="401" t="s">
        <v>409</v>
      </c>
      <c r="B3" s="402" t="s">
        <v>478</v>
      </c>
    </row>
    <row r="4" spans="1:2" ht="22.5" customHeight="1">
      <c r="A4" s="401" t="s">
        <v>408</v>
      </c>
      <c r="B4" s="402" t="s">
        <v>469</v>
      </c>
    </row>
    <row r="5" spans="1:2" ht="22.5" customHeight="1">
      <c r="A5" s="401" t="s">
        <v>410</v>
      </c>
      <c r="B5" s="439" t="s">
        <v>471</v>
      </c>
    </row>
    <row r="6" spans="1:2" ht="22.5" customHeight="1">
      <c r="A6" s="401" t="s">
        <v>411</v>
      </c>
      <c r="B6" s="417" t="s">
        <v>467</v>
      </c>
    </row>
    <row r="7" spans="1:2" ht="22.5" customHeight="1">
      <c r="A7" s="401" t="s">
        <v>412</v>
      </c>
      <c r="B7" s="417" t="s">
        <v>377</v>
      </c>
    </row>
    <row r="8" spans="1:2" ht="15.75">
      <c r="A8" s="403" t="s">
        <v>413</v>
      </c>
      <c r="B8" s="440" t="s">
        <v>479</v>
      </c>
    </row>
    <row r="10" spans="1:2" ht="62.25" customHeight="1">
      <c r="A10" s="856" t="s">
        <v>422</v>
      </c>
      <c r="B10" s="856"/>
    </row>
    <row r="11" spans="1:2" ht="15.75">
      <c r="A11" s="857" t="s">
        <v>420</v>
      </c>
      <c r="B11" s="857"/>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AJ71"/>
  <sheetViews>
    <sheetView showZeros="0" zoomScale="85" zoomScaleNormal="85" zoomScaleSheetLayoutView="85" zoomScalePageLayoutView="0" workbookViewId="0" topLeftCell="A4">
      <pane xSplit="1" ySplit="7" topLeftCell="B59" activePane="bottomRight" state="frozen"/>
      <selection pane="topLeft" activeCell="A4" sqref="A4"/>
      <selection pane="topRight" activeCell="B4" sqref="B4"/>
      <selection pane="bottomLeft" activeCell="A11" sqref="A11"/>
      <selection pane="bottomRight" activeCell="A61" sqref="A61:U61"/>
    </sheetView>
  </sheetViews>
  <sheetFormatPr defaultColWidth="9.00390625" defaultRowHeight="15.75"/>
  <cols>
    <col min="1" max="1" width="4.125" style="382" customWidth="1"/>
    <col min="2" max="2" width="16.50390625" style="382" customWidth="1"/>
    <col min="3" max="3" width="9.875" style="382" customWidth="1"/>
    <col min="4" max="4" width="9.375" style="382" customWidth="1"/>
    <col min="5" max="5" width="8.875" style="382" customWidth="1"/>
    <col min="6" max="6" width="8.125" style="382" customWidth="1"/>
    <col min="7" max="7" width="6.625" style="382" customWidth="1"/>
    <col min="8" max="9" width="10.00390625" style="382" customWidth="1"/>
    <col min="10" max="10" width="8.625" style="382" customWidth="1"/>
    <col min="11" max="11" width="8.75390625" style="382" customWidth="1"/>
    <col min="12" max="12" width="8.00390625" style="382" customWidth="1"/>
    <col min="13" max="13" width="9.75390625" style="382" customWidth="1"/>
    <col min="14" max="14" width="9.125" style="382" customWidth="1"/>
    <col min="15" max="15" width="8.00390625" style="382" customWidth="1"/>
    <col min="16" max="16" width="7.25390625" style="382" customWidth="1"/>
    <col min="17" max="17" width="7.875" style="382" customWidth="1"/>
    <col min="18" max="18" width="8.875" style="382" customWidth="1"/>
    <col min="19" max="19" width="10.875" style="382" customWidth="1"/>
    <col min="20" max="20" width="6.125" style="382" customWidth="1"/>
    <col min="21" max="21" width="9.00390625" style="382" customWidth="1"/>
    <col min="22" max="22" width="13.375" style="382" customWidth="1"/>
    <col min="23" max="16384" width="9.00390625" style="382" customWidth="1"/>
  </cols>
  <sheetData>
    <row r="1" spans="1:20" s="384" customFormat="1" ht="20.25" customHeight="1">
      <c r="A1" s="421" t="s">
        <v>28</v>
      </c>
      <c r="B1" s="421"/>
      <c r="C1" s="421"/>
      <c r="D1" s="422"/>
      <c r="E1" s="879" t="s">
        <v>468</v>
      </c>
      <c r="F1" s="879"/>
      <c r="G1" s="879"/>
      <c r="H1" s="879"/>
      <c r="I1" s="879"/>
      <c r="J1" s="879"/>
      <c r="K1" s="879"/>
      <c r="L1" s="879"/>
      <c r="M1" s="879"/>
      <c r="N1" s="879"/>
      <c r="O1" s="879"/>
      <c r="P1" s="879"/>
      <c r="Q1" s="423" t="s">
        <v>418</v>
      </c>
      <c r="R1" s="423"/>
      <c r="S1" s="423"/>
      <c r="T1" s="423"/>
    </row>
    <row r="2" spans="1:20" ht="17.25" customHeight="1">
      <c r="A2" s="871" t="s">
        <v>226</v>
      </c>
      <c r="B2" s="871"/>
      <c r="C2" s="871"/>
      <c r="D2" s="871"/>
      <c r="E2" s="561" t="s">
        <v>34</v>
      </c>
      <c r="F2" s="561"/>
      <c r="G2" s="561"/>
      <c r="H2" s="561"/>
      <c r="I2" s="561"/>
      <c r="J2" s="561"/>
      <c r="K2" s="561"/>
      <c r="L2" s="561"/>
      <c r="M2" s="561"/>
      <c r="N2" s="561"/>
      <c r="O2" s="561"/>
      <c r="P2" s="561"/>
      <c r="Q2" s="886" t="str">
        <f>'Thong tin'!B4</f>
        <v>Cục THADS tỉnh Tuyên Quang</v>
      </c>
      <c r="R2" s="886"/>
      <c r="S2" s="886"/>
      <c r="T2" s="886"/>
    </row>
    <row r="3" spans="1:20" s="384" customFormat="1" ht="18" customHeight="1">
      <c r="A3" s="871" t="s">
        <v>227</v>
      </c>
      <c r="B3" s="871"/>
      <c r="C3" s="871"/>
      <c r="D3" s="871"/>
      <c r="E3" s="880" t="str">
        <f>'Thong tin'!B3</f>
        <v>01 tháng / năm 2018</v>
      </c>
      <c r="F3" s="880"/>
      <c r="G3" s="880"/>
      <c r="H3" s="880"/>
      <c r="I3" s="880"/>
      <c r="J3" s="880"/>
      <c r="K3" s="880"/>
      <c r="L3" s="880"/>
      <c r="M3" s="880"/>
      <c r="N3" s="880"/>
      <c r="O3" s="880"/>
      <c r="P3" s="880"/>
      <c r="Q3" s="423" t="s">
        <v>470</v>
      </c>
      <c r="R3" s="421"/>
      <c r="S3" s="423"/>
      <c r="T3" s="423"/>
    </row>
    <row r="4" spans="1:20" ht="14.25" customHeight="1">
      <c r="A4" s="424" t="s">
        <v>105</v>
      </c>
      <c r="B4" s="421"/>
      <c r="C4" s="421"/>
      <c r="D4" s="421"/>
      <c r="E4" s="421"/>
      <c r="F4" s="421"/>
      <c r="G4" s="421"/>
      <c r="H4" s="421"/>
      <c r="I4" s="421"/>
      <c r="J4" s="421"/>
      <c r="K4" s="421"/>
      <c r="L4" s="421"/>
      <c r="M4" s="421"/>
      <c r="N4" s="421"/>
      <c r="O4" s="425"/>
      <c r="P4" s="425"/>
      <c r="Q4" s="873" t="s">
        <v>289</v>
      </c>
      <c r="R4" s="873"/>
      <c r="S4" s="873"/>
      <c r="T4" s="873"/>
    </row>
    <row r="5" spans="1:20" s="384" customFormat="1" ht="21.75" customHeight="1" thickBot="1">
      <c r="A5" s="422"/>
      <c r="B5" s="426"/>
      <c r="C5" s="426"/>
      <c r="D5" s="422"/>
      <c r="E5" s="422"/>
      <c r="F5" s="422"/>
      <c r="G5" s="422"/>
      <c r="H5" s="422"/>
      <c r="I5" s="422"/>
      <c r="J5" s="422"/>
      <c r="K5" s="427"/>
      <c r="L5" s="422"/>
      <c r="M5" s="422"/>
      <c r="N5" s="422"/>
      <c r="O5" s="422"/>
      <c r="P5" s="422"/>
      <c r="Q5" s="866" t="s">
        <v>419</v>
      </c>
      <c r="R5" s="866"/>
      <c r="S5" s="866"/>
      <c r="T5" s="866"/>
    </row>
    <row r="6" spans="1:36" s="384" customFormat="1" ht="18.75" customHeight="1" thickTop="1">
      <c r="A6" s="862" t="s">
        <v>53</v>
      </c>
      <c r="B6" s="863"/>
      <c r="C6" s="884" t="s">
        <v>106</v>
      </c>
      <c r="D6" s="884"/>
      <c r="E6" s="884"/>
      <c r="F6" s="881" t="s">
        <v>97</v>
      </c>
      <c r="G6" s="881" t="s">
        <v>107</v>
      </c>
      <c r="H6" s="883" t="s">
        <v>98</v>
      </c>
      <c r="I6" s="883"/>
      <c r="J6" s="883"/>
      <c r="K6" s="883"/>
      <c r="L6" s="883"/>
      <c r="M6" s="883"/>
      <c r="N6" s="883"/>
      <c r="O6" s="883"/>
      <c r="P6" s="883"/>
      <c r="Q6" s="883"/>
      <c r="R6" s="883"/>
      <c r="S6" s="884" t="s">
        <v>231</v>
      </c>
      <c r="T6" s="891" t="s">
        <v>417</v>
      </c>
      <c r="U6" s="859" t="s">
        <v>480</v>
      </c>
      <c r="V6" s="858" t="s">
        <v>486</v>
      </c>
      <c r="W6" s="858" t="s">
        <v>481</v>
      </c>
      <c r="X6" s="858" t="s">
        <v>482</v>
      </c>
      <c r="Y6" s="858" t="s">
        <v>483</v>
      </c>
      <c r="Z6" s="858" t="s">
        <v>484</v>
      </c>
      <c r="AA6" s="858" t="s">
        <v>485</v>
      </c>
      <c r="AB6" s="386"/>
      <c r="AC6" s="386"/>
      <c r="AD6" s="386"/>
      <c r="AE6" s="386"/>
      <c r="AF6" s="386"/>
      <c r="AG6" s="386"/>
      <c r="AH6" s="386"/>
      <c r="AI6" s="386"/>
      <c r="AJ6" s="386"/>
    </row>
    <row r="7" spans="1:36" s="400" customFormat="1" ht="21" customHeight="1">
      <c r="A7" s="864"/>
      <c r="B7" s="865"/>
      <c r="C7" s="885" t="s">
        <v>42</v>
      </c>
      <c r="D7" s="867" t="s">
        <v>7</v>
      </c>
      <c r="E7" s="867"/>
      <c r="F7" s="882"/>
      <c r="G7" s="882"/>
      <c r="H7" s="882" t="s">
        <v>98</v>
      </c>
      <c r="I7" s="885" t="s">
        <v>99</v>
      </c>
      <c r="J7" s="885"/>
      <c r="K7" s="885"/>
      <c r="L7" s="885"/>
      <c r="M7" s="885"/>
      <c r="N7" s="885"/>
      <c r="O7" s="885"/>
      <c r="P7" s="885"/>
      <c r="Q7" s="885"/>
      <c r="R7" s="882" t="s">
        <v>108</v>
      </c>
      <c r="S7" s="885"/>
      <c r="T7" s="892"/>
      <c r="U7" s="859"/>
      <c r="V7" s="858"/>
      <c r="W7" s="858"/>
      <c r="X7" s="858"/>
      <c r="Y7" s="858"/>
      <c r="Z7" s="858"/>
      <c r="AA7" s="858"/>
      <c r="AB7" s="389"/>
      <c r="AC7" s="389"/>
      <c r="AD7" s="389"/>
      <c r="AE7" s="389"/>
      <c r="AF7" s="389"/>
      <c r="AG7" s="389"/>
      <c r="AH7" s="389"/>
      <c r="AI7" s="389"/>
      <c r="AJ7" s="389"/>
    </row>
    <row r="8" spans="1:36" s="384" customFormat="1" ht="21.75" customHeight="1">
      <c r="A8" s="864"/>
      <c r="B8" s="865"/>
      <c r="C8" s="885"/>
      <c r="D8" s="867" t="s">
        <v>109</v>
      </c>
      <c r="E8" s="867" t="s">
        <v>110</v>
      </c>
      <c r="F8" s="882"/>
      <c r="G8" s="882"/>
      <c r="H8" s="882"/>
      <c r="I8" s="882" t="s">
        <v>416</v>
      </c>
      <c r="J8" s="867" t="s">
        <v>7</v>
      </c>
      <c r="K8" s="867"/>
      <c r="L8" s="867"/>
      <c r="M8" s="867"/>
      <c r="N8" s="867"/>
      <c r="O8" s="867"/>
      <c r="P8" s="867"/>
      <c r="Q8" s="867"/>
      <c r="R8" s="882"/>
      <c r="S8" s="885"/>
      <c r="T8" s="892"/>
      <c r="U8" s="859"/>
      <c r="V8" s="858"/>
      <c r="W8" s="858"/>
      <c r="X8" s="858"/>
      <c r="Y8" s="858"/>
      <c r="Z8" s="858"/>
      <c r="AA8" s="858"/>
      <c r="AB8" s="386"/>
      <c r="AC8" s="386"/>
      <c r="AD8" s="386"/>
      <c r="AE8" s="386"/>
      <c r="AF8" s="386"/>
      <c r="AG8" s="386"/>
      <c r="AH8" s="386"/>
      <c r="AI8" s="386"/>
      <c r="AJ8" s="386"/>
    </row>
    <row r="9" spans="1:36" s="384" customFormat="1" ht="84" customHeight="1">
      <c r="A9" s="864"/>
      <c r="B9" s="865"/>
      <c r="C9" s="885"/>
      <c r="D9" s="867"/>
      <c r="E9" s="867"/>
      <c r="F9" s="882"/>
      <c r="G9" s="882"/>
      <c r="H9" s="882"/>
      <c r="I9" s="882"/>
      <c r="J9" s="428" t="s">
        <v>111</v>
      </c>
      <c r="K9" s="428" t="s">
        <v>112</v>
      </c>
      <c r="L9" s="428" t="s">
        <v>104</v>
      </c>
      <c r="M9" s="429" t="s">
        <v>100</v>
      </c>
      <c r="N9" s="429" t="s">
        <v>113</v>
      </c>
      <c r="O9" s="429" t="s">
        <v>101</v>
      </c>
      <c r="P9" s="429" t="s">
        <v>232</v>
      </c>
      <c r="Q9" s="429" t="s">
        <v>102</v>
      </c>
      <c r="R9" s="882"/>
      <c r="S9" s="885"/>
      <c r="T9" s="892"/>
      <c r="U9" s="859"/>
      <c r="V9" s="858"/>
      <c r="W9" s="858"/>
      <c r="X9" s="858"/>
      <c r="Y9" s="858"/>
      <c r="Z9" s="858"/>
      <c r="AA9" s="858"/>
      <c r="AB9" s="386"/>
      <c r="AC9" s="386"/>
      <c r="AD9" s="386"/>
      <c r="AE9" s="386"/>
      <c r="AF9" s="386"/>
      <c r="AG9" s="386"/>
      <c r="AH9" s="386"/>
      <c r="AI9" s="386"/>
      <c r="AJ9" s="386"/>
    </row>
    <row r="10" spans="1:20" s="384" customFormat="1" ht="17.25" customHeight="1">
      <c r="A10" s="888" t="s">
        <v>6</v>
      </c>
      <c r="B10" s="889"/>
      <c r="C10" s="430">
        <v>1</v>
      </c>
      <c r="D10" s="430">
        <v>2</v>
      </c>
      <c r="E10" s="430">
        <v>3</v>
      </c>
      <c r="F10" s="430">
        <v>4</v>
      </c>
      <c r="G10" s="430">
        <v>5</v>
      </c>
      <c r="H10" s="430">
        <v>6</v>
      </c>
      <c r="I10" s="430">
        <v>7</v>
      </c>
      <c r="J10" s="430">
        <v>8</v>
      </c>
      <c r="K10" s="430">
        <v>9</v>
      </c>
      <c r="L10" s="430" t="s">
        <v>79</v>
      </c>
      <c r="M10" s="430" t="s">
        <v>80</v>
      </c>
      <c r="N10" s="430" t="s">
        <v>81</v>
      </c>
      <c r="O10" s="430" t="s">
        <v>82</v>
      </c>
      <c r="P10" s="430" t="s">
        <v>83</v>
      </c>
      <c r="Q10" s="430" t="s">
        <v>234</v>
      </c>
      <c r="R10" s="430" t="s">
        <v>235</v>
      </c>
      <c r="S10" s="430" t="s">
        <v>236</v>
      </c>
      <c r="T10" s="431" t="s">
        <v>237</v>
      </c>
    </row>
    <row r="11" spans="1:27" s="384" customFormat="1" ht="24" customHeight="1">
      <c r="A11" s="442"/>
      <c r="B11" s="507" t="s">
        <v>115</v>
      </c>
      <c r="C11" s="507">
        <f aca="true" t="shared" si="0" ref="C11:S11">C12+C24+C32+C39+C47+C51+C55+C58</f>
        <v>102844028</v>
      </c>
      <c r="D11" s="507">
        <f t="shared" si="0"/>
        <v>95712620</v>
      </c>
      <c r="E11" s="507">
        <f t="shared" si="0"/>
        <v>7131408</v>
      </c>
      <c r="F11" s="507">
        <f t="shared" si="0"/>
        <v>7669970</v>
      </c>
      <c r="G11" s="507">
        <f t="shared" si="0"/>
        <v>0</v>
      </c>
      <c r="H11" s="507">
        <f t="shared" si="0"/>
        <v>95174058</v>
      </c>
      <c r="I11" s="507">
        <f t="shared" si="0"/>
        <v>36624736</v>
      </c>
      <c r="J11" s="507">
        <f t="shared" si="0"/>
        <v>1355279</v>
      </c>
      <c r="K11" s="507">
        <f t="shared" si="0"/>
        <v>326414</v>
      </c>
      <c r="L11" s="507">
        <f t="shared" si="0"/>
        <v>26409</v>
      </c>
      <c r="M11" s="507">
        <f t="shared" si="0"/>
        <v>17849658</v>
      </c>
      <c r="N11" s="507">
        <f t="shared" si="0"/>
        <v>16710779</v>
      </c>
      <c r="O11" s="507">
        <f t="shared" si="0"/>
        <v>0</v>
      </c>
      <c r="P11" s="507">
        <f t="shared" si="0"/>
        <v>0</v>
      </c>
      <c r="Q11" s="507">
        <f t="shared" si="0"/>
        <v>356197</v>
      </c>
      <c r="R11" s="507">
        <f t="shared" si="0"/>
        <v>58549322</v>
      </c>
      <c r="S11" s="507">
        <f t="shared" si="0"/>
        <v>93465956</v>
      </c>
      <c r="T11" s="508">
        <f>(K11+J11+L11)/I11</f>
        <v>0.04663793344476258</v>
      </c>
      <c r="U11" s="550">
        <f>I11/H11</f>
        <v>0.384818476480219</v>
      </c>
      <c r="V11" s="551">
        <f>(S11-R11-37008119)/37008119</f>
        <v>-0.0565142205687352</v>
      </c>
      <c r="W11" s="552">
        <f>(C11-89691092)/89691092</f>
        <v>0.14664707170696506</v>
      </c>
      <c r="X11" s="552">
        <f>(E11-10706353)/10706353</f>
        <v>-0.33390875492336186</v>
      </c>
      <c r="Y11" s="552">
        <f>(H11-89643517)/89643517</f>
        <v>0.06169482395475403</v>
      </c>
      <c r="Z11" s="552">
        <f>(I11-62911797)/62911797</f>
        <v>-0.4178399323103106</v>
      </c>
      <c r="AA11" s="552">
        <f>(J11+K11+L11-2131475)/2131475</f>
        <v>-0.19862911833354838</v>
      </c>
    </row>
    <row r="12" spans="1:27" s="384" customFormat="1" ht="26.25" customHeight="1">
      <c r="A12" s="443" t="s">
        <v>0</v>
      </c>
      <c r="B12" s="509" t="s">
        <v>463</v>
      </c>
      <c r="C12" s="510">
        <f>D12+E12</f>
        <v>13190031</v>
      </c>
      <c r="D12" s="510">
        <f aca="true" t="shared" si="1" ref="D12:S12">SUM(D13:D22)</f>
        <v>12147874</v>
      </c>
      <c r="E12" s="510">
        <f t="shared" si="1"/>
        <v>1042157</v>
      </c>
      <c r="F12" s="510">
        <f t="shared" si="1"/>
        <v>0</v>
      </c>
      <c r="G12" s="510">
        <f t="shared" si="1"/>
        <v>0</v>
      </c>
      <c r="H12" s="510">
        <f t="shared" si="1"/>
        <v>13190031</v>
      </c>
      <c r="I12" s="510">
        <f t="shared" si="1"/>
        <v>1363353</v>
      </c>
      <c r="J12" s="510">
        <f t="shared" si="1"/>
        <v>79910</v>
      </c>
      <c r="K12" s="510">
        <f t="shared" si="1"/>
        <v>0</v>
      </c>
      <c r="L12" s="510">
        <f t="shared" si="1"/>
        <v>0</v>
      </c>
      <c r="M12" s="510">
        <f t="shared" si="1"/>
        <v>1283443</v>
      </c>
      <c r="N12" s="510">
        <f t="shared" si="1"/>
        <v>0</v>
      </c>
      <c r="O12" s="510">
        <f t="shared" si="1"/>
        <v>0</v>
      </c>
      <c r="P12" s="510">
        <f t="shared" si="1"/>
        <v>0</v>
      </c>
      <c r="Q12" s="510">
        <f t="shared" si="1"/>
        <v>0</v>
      </c>
      <c r="R12" s="510">
        <f t="shared" si="1"/>
        <v>11826678</v>
      </c>
      <c r="S12" s="510">
        <f t="shared" si="1"/>
        <v>13110121</v>
      </c>
      <c r="T12" s="511">
        <f>(K12+J12+L12)/I12</f>
        <v>0.05861284641615194</v>
      </c>
      <c r="U12" s="553">
        <f>I12/H12</f>
        <v>0.10336238027037238</v>
      </c>
      <c r="V12" s="554">
        <f>(S12-R12-326346)/326346</f>
        <v>2.9327676760248327</v>
      </c>
      <c r="W12" s="552">
        <f>(C12-9493814)/9493814</f>
        <v>0.3893289883286106</v>
      </c>
      <c r="X12" s="552">
        <f>(E12-3713048)/3713048</f>
        <v>-0.7193257399311832</v>
      </c>
      <c r="Y12" s="552">
        <f>(H12-9493814)/9493814</f>
        <v>0.3893289883286106</v>
      </c>
      <c r="Z12" s="552">
        <f>(I12-6779114)/6779114</f>
        <v>-0.7988892058755761</v>
      </c>
      <c r="AA12" s="552">
        <f>(J12+K12+L12-462196)/462196</f>
        <v>-0.8271079801642593</v>
      </c>
    </row>
    <row r="13" spans="1:20" s="384" customFormat="1" ht="26.25" customHeight="1">
      <c r="A13" s="432" t="s">
        <v>43</v>
      </c>
      <c r="B13" s="521" t="s">
        <v>423</v>
      </c>
      <c r="C13" s="433">
        <f aca="true" t="shared" si="2" ref="C13:C22">D13+E13</f>
        <v>1222331</v>
      </c>
      <c r="D13" s="524">
        <v>684114</v>
      </c>
      <c r="E13" s="477">
        <v>538217</v>
      </c>
      <c r="F13" s="469"/>
      <c r="G13" s="444">
        <v>0</v>
      </c>
      <c r="H13" s="433">
        <f aca="true" t="shared" si="3" ref="H13:H31">I13+R13</f>
        <v>1222331</v>
      </c>
      <c r="I13" s="433">
        <f aca="true" t="shared" si="4" ref="I13:I21">J13+K13+L13+M13+N13+O13+P13+Q13</f>
        <v>538217</v>
      </c>
      <c r="J13" s="477">
        <v>0</v>
      </c>
      <c r="K13" s="477">
        <v>0</v>
      </c>
      <c r="L13" s="477">
        <v>0</v>
      </c>
      <c r="M13" s="477">
        <v>538217</v>
      </c>
      <c r="N13" s="469"/>
      <c r="O13" s="471">
        <v>0</v>
      </c>
      <c r="P13" s="471">
        <v>0</v>
      </c>
      <c r="Q13" s="471"/>
      <c r="R13" s="492">
        <v>684114</v>
      </c>
      <c r="S13" s="433">
        <f>C13-F13+G13-J13-K13-L13</f>
        <v>1222331</v>
      </c>
      <c r="T13" s="445">
        <f aca="true" t="shared" si="5" ref="T13:T60">(K13+J13+L13)/I13</f>
        <v>0</v>
      </c>
    </row>
    <row r="14" spans="1:20" s="384" customFormat="1" ht="26.25" customHeight="1">
      <c r="A14" s="432" t="s">
        <v>44</v>
      </c>
      <c r="B14" s="521" t="s">
        <v>424</v>
      </c>
      <c r="C14" s="433">
        <f t="shared" si="2"/>
        <v>5868536</v>
      </c>
      <c r="D14" s="524">
        <v>5415996</v>
      </c>
      <c r="E14" s="477">
        <v>452540</v>
      </c>
      <c r="F14" s="469"/>
      <c r="G14" s="444">
        <v>0</v>
      </c>
      <c r="H14" s="433">
        <f t="shared" si="3"/>
        <v>5868536</v>
      </c>
      <c r="I14" s="433">
        <f t="shared" si="4"/>
        <v>769186</v>
      </c>
      <c r="J14" s="477">
        <v>34540</v>
      </c>
      <c r="K14" s="477">
        <v>0</v>
      </c>
      <c r="L14" s="477">
        <v>0</v>
      </c>
      <c r="M14" s="477">
        <v>734646</v>
      </c>
      <c r="N14" s="469"/>
      <c r="O14" s="471">
        <v>0</v>
      </c>
      <c r="P14" s="471">
        <v>0</v>
      </c>
      <c r="Q14" s="471"/>
      <c r="R14" s="492">
        <v>5099350</v>
      </c>
      <c r="S14" s="433">
        <f aca="true" t="shared" si="6" ref="S14:S22">C14-F14+G14-J14-K14-L14</f>
        <v>5833996</v>
      </c>
      <c r="T14" s="445">
        <f t="shared" si="5"/>
        <v>0.0449046134485027</v>
      </c>
    </row>
    <row r="15" spans="1:20" s="384" customFormat="1" ht="26.25" customHeight="1">
      <c r="A15" s="432" t="s">
        <v>45</v>
      </c>
      <c r="B15" s="521" t="s">
        <v>476</v>
      </c>
      <c r="C15" s="433">
        <f t="shared" si="2"/>
        <v>4179687</v>
      </c>
      <c r="D15" s="524">
        <v>4165587</v>
      </c>
      <c r="E15" s="484">
        <v>14100</v>
      </c>
      <c r="F15" s="444"/>
      <c r="G15" s="444"/>
      <c r="H15" s="433">
        <f t="shared" si="3"/>
        <v>4179687</v>
      </c>
      <c r="I15" s="433">
        <f t="shared" si="4"/>
        <v>14950</v>
      </c>
      <c r="J15" s="484">
        <v>8070</v>
      </c>
      <c r="K15" s="484">
        <v>0</v>
      </c>
      <c r="L15" s="484">
        <v>0</v>
      </c>
      <c r="M15" s="484">
        <v>6880</v>
      </c>
      <c r="N15" s="444"/>
      <c r="O15" s="485">
        <v>0</v>
      </c>
      <c r="P15" s="485">
        <v>0</v>
      </c>
      <c r="Q15" s="485"/>
      <c r="R15" s="492">
        <v>4164737</v>
      </c>
      <c r="S15" s="433">
        <f>C15-F15-J15-K15-L15</f>
        <v>4171617</v>
      </c>
      <c r="T15" s="445">
        <f t="shared" si="5"/>
        <v>0.539799331103679</v>
      </c>
    </row>
    <row r="16" spans="1:20" ht="24.75" customHeight="1">
      <c r="A16" s="432">
        <v>4</v>
      </c>
      <c r="B16" s="522" t="s">
        <v>425</v>
      </c>
      <c r="C16" s="433">
        <f t="shared" si="2"/>
        <v>0</v>
      </c>
      <c r="D16" s="491">
        <v>0</v>
      </c>
      <c r="E16" s="477"/>
      <c r="F16" s="469"/>
      <c r="G16" s="444">
        <v>0</v>
      </c>
      <c r="H16" s="433">
        <f t="shared" si="3"/>
        <v>0</v>
      </c>
      <c r="I16" s="433">
        <f t="shared" si="4"/>
        <v>0</v>
      </c>
      <c r="J16" s="477"/>
      <c r="K16" s="477"/>
      <c r="L16" s="477"/>
      <c r="M16" s="477">
        <v>0</v>
      </c>
      <c r="N16" s="469"/>
      <c r="O16" s="471">
        <v>0</v>
      </c>
      <c r="P16" s="471">
        <v>0</v>
      </c>
      <c r="Q16" s="471"/>
      <c r="R16" s="492">
        <v>0</v>
      </c>
      <c r="S16" s="433">
        <f t="shared" si="6"/>
        <v>0</v>
      </c>
      <c r="T16" s="445" t="e">
        <f t="shared" si="5"/>
        <v>#DIV/0!</v>
      </c>
    </row>
    <row r="17" spans="1:20" ht="24.75" customHeight="1">
      <c r="A17" s="432">
        <v>5</v>
      </c>
      <c r="B17" s="522" t="s">
        <v>426</v>
      </c>
      <c r="C17" s="433">
        <f t="shared" si="2"/>
        <v>47735</v>
      </c>
      <c r="D17" s="491">
        <v>47735</v>
      </c>
      <c r="E17" s="477">
        <v>0</v>
      </c>
      <c r="F17" s="469"/>
      <c r="G17" s="444">
        <v>0</v>
      </c>
      <c r="H17" s="433">
        <f t="shared" si="3"/>
        <v>47735</v>
      </c>
      <c r="I17" s="433">
        <f t="shared" si="4"/>
        <v>0</v>
      </c>
      <c r="J17" s="477">
        <v>0</v>
      </c>
      <c r="K17" s="477"/>
      <c r="L17" s="477"/>
      <c r="M17" s="477">
        <v>0</v>
      </c>
      <c r="N17" s="469"/>
      <c r="O17" s="471">
        <v>0</v>
      </c>
      <c r="P17" s="471">
        <v>0</v>
      </c>
      <c r="Q17" s="471"/>
      <c r="R17" s="492">
        <v>47735</v>
      </c>
      <c r="S17" s="433">
        <f t="shared" si="6"/>
        <v>47735</v>
      </c>
      <c r="T17" s="445" t="e">
        <f t="shared" si="5"/>
        <v>#DIV/0!</v>
      </c>
    </row>
    <row r="18" spans="1:20" ht="24.75" customHeight="1">
      <c r="A18" s="432">
        <v>6</v>
      </c>
      <c r="B18" s="459" t="s">
        <v>427</v>
      </c>
      <c r="C18" s="433">
        <f t="shared" si="2"/>
        <v>1612031</v>
      </c>
      <c r="D18" s="524">
        <v>1574731</v>
      </c>
      <c r="E18" s="477">
        <v>37300</v>
      </c>
      <c r="F18" s="469"/>
      <c r="G18" s="444">
        <v>0</v>
      </c>
      <c r="H18" s="433">
        <f t="shared" si="3"/>
        <v>1612031</v>
      </c>
      <c r="I18" s="433">
        <f t="shared" si="4"/>
        <v>37300</v>
      </c>
      <c r="J18" s="477">
        <v>37300</v>
      </c>
      <c r="K18" s="477">
        <v>0</v>
      </c>
      <c r="L18" s="477">
        <v>0</v>
      </c>
      <c r="M18" s="477">
        <v>0</v>
      </c>
      <c r="N18" s="469"/>
      <c r="O18" s="471">
        <v>0</v>
      </c>
      <c r="P18" s="471">
        <v>0</v>
      </c>
      <c r="Q18" s="471"/>
      <c r="R18" s="492">
        <v>1574731</v>
      </c>
      <c r="S18" s="433">
        <f t="shared" si="6"/>
        <v>1574731</v>
      </c>
      <c r="T18" s="445">
        <f t="shared" si="5"/>
        <v>1</v>
      </c>
    </row>
    <row r="19" spans="1:20" ht="28.5" customHeight="1">
      <c r="A19" s="432">
        <v>7</v>
      </c>
      <c r="B19" s="522" t="s">
        <v>428</v>
      </c>
      <c r="C19" s="433">
        <f t="shared" si="2"/>
        <v>0</v>
      </c>
      <c r="D19" s="491">
        <v>0</v>
      </c>
      <c r="E19" s="477">
        <v>0</v>
      </c>
      <c r="F19" s="469"/>
      <c r="G19" s="444">
        <v>0</v>
      </c>
      <c r="H19" s="433">
        <f t="shared" si="3"/>
        <v>0</v>
      </c>
      <c r="I19" s="433">
        <f t="shared" si="4"/>
        <v>0</v>
      </c>
      <c r="J19" s="477">
        <v>0</v>
      </c>
      <c r="K19" s="477"/>
      <c r="L19" s="477"/>
      <c r="M19" s="477">
        <v>0</v>
      </c>
      <c r="N19" s="469"/>
      <c r="O19" s="471">
        <v>0</v>
      </c>
      <c r="P19" s="471">
        <v>0</v>
      </c>
      <c r="Q19" s="471"/>
      <c r="R19" s="492">
        <v>0</v>
      </c>
      <c r="S19" s="433">
        <f t="shared" si="6"/>
        <v>0</v>
      </c>
      <c r="T19" s="445" t="e">
        <f t="shared" si="5"/>
        <v>#DIV/0!</v>
      </c>
    </row>
    <row r="20" spans="1:20" ht="28.5" customHeight="1">
      <c r="A20" s="432">
        <v>8</v>
      </c>
      <c r="B20" s="522" t="s">
        <v>477</v>
      </c>
      <c r="C20" s="433">
        <f t="shared" si="2"/>
        <v>188202</v>
      </c>
      <c r="D20" s="491">
        <v>188202</v>
      </c>
      <c r="E20" s="477">
        <v>0</v>
      </c>
      <c r="F20" s="469"/>
      <c r="G20" s="444"/>
      <c r="H20" s="433">
        <f t="shared" si="3"/>
        <v>188202</v>
      </c>
      <c r="I20" s="433">
        <f t="shared" si="4"/>
        <v>0</v>
      </c>
      <c r="J20" s="477">
        <v>0</v>
      </c>
      <c r="K20" s="477"/>
      <c r="L20" s="477"/>
      <c r="M20" s="477">
        <v>0</v>
      </c>
      <c r="N20" s="469"/>
      <c r="O20" s="471"/>
      <c r="P20" s="471"/>
      <c r="Q20" s="471"/>
      <c r="R20" s="492">
        <v>188202</v>
      </c>
      <c r="S20" s="433">
        <f t="shared" si="6"/>
        <v>188202</v>
      </c>
      <c r="T20" s="445" t="e">
        <f t="shared" si="5"/>
        <v>#DIV/0!</v>
      </c>
    </row>
    <row r="21" spans="1:20" s="384" customFormat="1" ht="24.75" customHeight="1">
      <c r="A21" s="432">
        <v>9</v>
      </c>
      <c r="B21" s="522" t="s">
        <v>429</v>
      </c>
      <c r="C21" s="433">
        <f t="shared" si="2"/>
        <v>21629</v>
      </c>
      <c r="D21" s="491">
        <v>21629</v>
      </c>
      <c r="E21" s="477">
        <v>0</v>
      </c>
      <c r="F21" s="469"/>
      <c r="G21" s="444">
        <v>0</v>
      </c>
      <c r="H21" s="433">
        <f t="shared" si="3"/>
        <v>21629</v>
      </c>
      <c r="I21" s="433">
        <f t="shared" si="4"/>
        <v>3700</v>
      </c>
      <c r="J21" s="477">
        <v>0</v>
      </c>
      <c r="K21" s="477"/>
      <c r="L21" s="477"/>
      <c r="M21" s="477">
        <v>3700</v>
      </c>
      <c r="N21" s="469"/>
      <c r="O21" s="471">
        <v>0</v>
      </c>
      <c r="P21" s="471">
        <v>0</v>
      </c>
      <c r="Q21" s="471"/>
      <c r="R21" s="492">
        <v>17929</v>
      </c>
      <c r="S21" s="433">
        <f t="shared" si="6"/>
        <v>21629</v>
      </c>
      <c r="T21" s="445">
        <f t="shared" si="5"/>
        <v>0</v>
      </c>
    </row>
    <row r="22" spans="1:20" s="384" customFormat="1" ht="24.75" customHeight="1">
      <c r="A22" s="432">
        <v>10</v>
      </c>
      <c r="B22" s="523" t="s">
        <v>430</v>
      </c>
      <c r="C22" s="433">
        <f t="shared" si="2"/>
        <v>49880</v>
      </c>
      <c r="D22" s="491">
        <v>49880</v>
      </c>
      <c r="E22" s="477">
        <v>0</v>
      </c>
      <c r="F22" s="469"/>
      <c r="G22" s="444">
        <v>0</v>
      </c>
      <c r="H22" s="433">
        <f t="shared" si="3"/>
        <v>49880</v>
      </c>
      <c r="I22" s="433">
        <f>J22+K22+L22+M22+N22+O22+P22+Q22</f>
        <v>0</v>
      </c>
      <c r="J22" s="477">
        <v>0</v>
      </c>
      <c r="K22" s="477"/>
      <c r="L22" s="477"/>
      <c r="M22" s="477">
        <v>0</v>
      </c>
      <c r="N22" s="469"/>
      <c r="O22" s="471">
        <v>0</v>
      </c>
      <c r="P22" s="471">
        <v>0</v>
      </c>
      <c r="Q22" s="471"/>
      <c r="R22" s="492">
        <v>49880</v>
      </c>
      <c r="S22" s="433">
        <f t="shared" si="6"/>
        <v>49880</v>
      </c>
      <c r="T22" s="445" t="e">
        <f t="shared" si="5"/>
        <v>#DIV/0!</v>
      </c>
    </row>
    <row r="23" spans="1:20" s="384" customFormat="1" ht="26.25" customHeight="1">
      <c r="A23" s="397" t="s">
        <v>1</v>
      </c>
      <c r="B23" s="869" t="s">
        <v>17</v>
      </c>
      <c r="C23" s="870"/>
      <c r="D23" s="491"/>
      <c r="E23" s="477"/>
      <c r="F23" s="469"/>
      <c r="G23" s="444"/>
      <c r="H23" s="433"/>
      <c r="I23" s="433"/>
      <c r="J23" s="477"/>
      <c r="K23" s="477"/>
      <c r="L23" s="477"/>
      <c r="M23" s="477"/>
      <c r="N23" s="469"/>
      <c r="O23" s="471"/>
      <c r="P23" s="471"/>
      <c r="Q23" s="471"/>
      <c r="R23" s="492"/>
      <c r="S23" s="433"/>
      <c r="T23" s="445"/>
    </row>
    <row r="24" spans="1:22" s="384" customFormat="1" ht="24.75" customHeight="1">
      <c r="A24" s="512">
        <v>1</v>
      </c>
      <c r="B24" s="509" t="s">
        <v>464</v>
      </c>
      <c r="C24" s="510">
        <f>D24+E24</f>
        <v>44140286</v>
      </c>
      <c r="D24" s="510">
        <f>SUM(D25:D31)</f>
        <v>41909503</v>
      </c>
      <c r="E24" s="510">
        <f>SUM(E25:E31)</f>
        <v>2230783</v>
      </c>
      <c r="F24" s="510">
        <f>SUM(F25:F31)</f>
        <v>151282</v>
      </c>
      <c r="G24" s="510">
        <f>SUM(G25:G31)</f>
        <v>0</v>
      </c>
      <c r="H24" s="510">
        <f>I24+R24</f>
        <v>43989004</v>
      </c>
      <c r="I24" s="510">
        <f aca="true" t="shared" si="7" ref="I24:S24">SUM(I25:I31)</f>
        <v>22400006</v>
      </c>
      <c r="J24" s="510">
        <f t="shared" si="7"/>
        <v>635010</v>
      </c>
      <c r="K24" s="510">
        <f t="shared" si="7"/>
        <v>0</v>
      </c>
      <c r="L24" s="510">
        <f t="shared" si="7"/>
        <v>0</v>
      </c>
      <c r="M24" s="510">
        <f t="shared" si="7"/>
        <v>6742349</v>
      </c>
      <c r="N24" s="510">
        <f t="shared" si="7"/>
        <v>15022647</v>
      </c>
      <c r="O24" s="510">
        <f t="shared" si="7"/>
        <v>0</v>
      </c>
      <c r="P24" s="510">
        <f t="shared" si="7"/>
        <v>0</v>
      </c>
      <c r="Q24" s="510">
        <f t="shared" si="7"/>
        <v>0</v>
      </c>
      <c r="R24" s="510">
        <f t="shared" si="7"/>
        <v>21588998</v>
      </c>
      <c r="S24" s="510">
        <f t="shared" si="7"/>
        <v>43353994</v>
      </c>
      <c r="T24" s="511">
        <f>(K24+J24+L24)/I24</f>
        <v>0.028348653120896485</v>
      </c>
      <c r="U24" s="553">
        <f>I24/H24</f>
        <v>0.5092183037379069</v>
      </c>
      <c r="V24" s="554">
        <f>(S24-R24-20320505)/20320505</f>
        <v>0.07108538887197931</v>
      </c>
    </row>
    <row r="25" spans="1:20" s="384" customFormat="1" ht="24.75" customHeight="1">
      <c r="A25" s="432" t="s">
        <v>43</v>
      </c>
      <c r="B25" s="446" t="s">
        <v>432</v>
      </c>
      <c r="C25" s="433">
        <f>D25+E25</f>
        <v>219150</v>
      </c>
      <c r="D25" s="441">
        <v>219150</v>
      </c>
      <c r="E25" s="441">
        <v>0</v>
      </c>
      <c r="F25" s="441">
        <v>0</v>
      </c>
      <c r="G25" s="441">
        <v>0</v>
      </c>
      <c r="H25" s="433">
        <f t="shared" si="3"/>
        <v>219150</v>
      </c>
      <c r="I25" s="433">
        <f aca="true" t="shared" si="8" ref="I25:I31">SUM(J25:Q25)</f>
        <v>219150</v>
      </c>
      <c r="J25" s="441">
        <v>0</v>
      </c>
      <c r="K25" s="441">
        <v>0</v>
      </c>
      <c r="L25" s="441">
        <v>0</v>
      </c>
      <c r="M25" s="441">
        <v>8000</v>
      </c>
      <c r="N25" s="441">
        <v>211150</v>
      </c>
      <c r="O25" s="441"/>
      <c r="P25" s="441"/>
      <c r="Q25" s="441"/>
      <c r="R25" s="441">
        <v>0</v>
      </c>
      <c r="S25" s="433">
        <f>C25-F25-G25-J25-K25-L25</f>
        <v>219150</v>
      </c>
      <c r="T25" s="445">
        <f t="shared" si="5"/>
        <v>0</v>
      </c>
    </row>
    <row r="26" spans="1:20" s="384" customFormat="1" ht="24.75" customHeight="1">
      <c r="A26" s="432" t="s">
        <v>44</v>
      </c>
      <c r="B26" s="447" t="s">
        <v>433</v>
      </c>
      <c r="C26" s="433">
        <f aca="true" t="shared" si="9" ref="C26:C31">D26+E26</f>
        <v>3740017</v>
      </c>
      <c r="D26" s="441">
        <v>3722897</v>
      </c>
      <c r="E26" s="441">
        <v>17120</v>
      </c>
      <c r="F26" s="441">
        <v>4500</v>
      </c>
      <c r="G26" s="441">
        <v>0</v>
      </c>
      <c r="H26" s="433">
        <f t="shared" si="3"/>
        <v>3735517</v>
      </c>
      <c r="I26" s="433">
        <f t="shared" si="8"/>
        <v>608980</v>
      </c>
      <c r="J26" s="441">
        <v>7620</v>
      </c>
      <c r="K26" s="441">
        <v>0</v>
      </c>
      <c r="L26" s="441">
        <v>0</v>
      </c>
      <c r="M26" s="441">
        <v>601360</v>
      </c>
      <c r="N26" s="441">
        <v>0</v>
      </c>
      <c r="O26" s="441">
        <v>0</v>
      </c>
      <c r="P26" s="441"/>
      <c r="Q26" s="441">
        <v>0</v>
      </c>
      <c r="R26" s="441">
        <v>3126537</v>
      </c>
      <c r="S26" s="433">
        <f aca="true" t="shared" si="10" ref="S26:S31">C26-F26-G26-J26-K26-L26</f>
        <v>3727897</v>
      </c>
      <c r="T26" s="445">
        <f t="shared" si="5"/>
        <v>0.012512726197904693</v>
      </c>
    </row>
    <row r="27" spans="1:20" s="384" customFormat="1" ht="24.75" customHeight="1">
      <c r="A27" s="432" t="s">
        <v>45</v>
      </c>
      <c r="B27" s="446" t="s">
        <v>434</v>
      </c>
      <c r="C27" s="433">
        <f t="shared" si="9"/>
        <v>6293138</v>
      </c>
      <c r="D27" s="441">
        <v>5249075</v>
      </c>
      <c r="E27" s="441">
        <v>1044063</v>
      </c>
      <c r="F27" s="441">
        <v>0</v>
      </c>
      <c r="G27" s="441">
        <v>0</v>
      </c>
      <c r="H27" s="433">
        <f t="shared" si="3"/>
        <v>6293138</v>
      </c>
      <c r="I27" s="433">
        <f t="shared" si="8"/>
        <v>1648719</v>
      </c>
      <c r="J27" s="441">
        <v>255006</v>
      </c>
      <c r="K27" s="441">
        <v>0</v>
      </c>
      <c r="L27" s="441">
        <v>0</v>
      </c>
      <c r="M27" s="441">
        <v>888161</v>
      </c>
      <c r="N27" s="441">
        <v>505552</v>
      </c>
      <c r="O27" s="441"/>
      <c r="P27" s="441"/>
      <c r="Q27" s="441"/>
      <c r="R27" s="441">
        <v>4644419</v>
      </c>
      <c r="S27" s="433">
        <f t="shared" si="10"/>
        <v>6038132</v>
      </c>
      <c r="T27" s="445">
        <f t="shared" si="5"/>
        <v>0.15466917042867825</v>
      </c>
    </row>
    <row r="28" spans="1:20" s="384" customFormat="1" ht="24.75" customHeight="1">
      <c r="A28" s="432" t="s">
        <v>54</v>
      </c>
      <c r="B28" s="447" t="s">
        <v>474</v>
      </c>
      <c r="C28" s="433">
        <f t="shared" si="9"/>
        <v>11821740</v>
      </c>
      <c r="D28" s="441">
        <v>11630368</v>
      </c>
      <c r="E28" s="441">
        <v>191372</v>
      </c>
      <c r="F28" s="441">
        <v>99782</v>
      </c>
      <c r="G28" s="441">
        <v>0</v>
      </c>
      <c r="H28" s="433">
        <f t="shared" si="3"/>
        <v>11721958</v>
      </c>
      <c r="I28" s="433">
        <f t="shared" si="8"/>
        <v>2841235</v>
      </c>
      <c r="J28" s="441">
        <v>29266</v>
      </c>
      <c r="K28" s="441">
        <v>0</v>
      </c>
      <c r="L28" s="441">
        <v>0</v>
      </c>
      <c r="M28" s="441">
        <v>1237849</v>
      </c>
      <c r="N28" s="441">
        <v>1574120</v>
      </c>
      <c r="O28" s="441"/>
      <c r="P28" s="441"/>
      <c r="Q28" s="441">
        <v>0</v>
      </c>
      <c r="R28" s="441">
        <v>8880723</v>
      </c>
      <c r="S28" s="433">
        <f t="shared" si="10"/>
        <v>11692692</v>
      </c>
      <c r="T28" s="445">
        <f t="shared" si="5"/>
        <v>0.010300450332337873</v>
      </c>
    </row>
    <row r="29" spans="1:20" s="384" customFormat="1" ht="24.75" customHeight="1">
      <c r="A29" s="432" t="s">
        <v>55</v>
      </c>
      <c r="B29" s="447" t="s">
        <v>473</v>
      </c>
      <c r="C29" s="433">
        <f t="shared" si="9"/>
        <v>15952303</v>
      </c>
      <c r="D29" s="441">
        <v>15803389</v>
      </c>
      <c r="E29" s="441">
        <v>148914</v>
      </c>
      <c r="F29" s="441">
        <v>0</v>
      </c>
      <c r="G29" s="441">
        <v>0</v>
      </c>
      <c r="H29" s="433">
        <f t="shared" si="3"/>
        <v>15952303</v>
      </c>
      <c r="I29" s="433">
        <f t="shared" si="8"/>
        <v>14145387</v>
      </c>
      <c r="J29" s="441">
        <v>28495</v>
      </c>
      <c r="K29" s="441">
        <v>0</v>
      </c>
      <c r="L29" s="441">
        <v>0</v>
      </c>
      <c r="M29" s="441">
        <v>1385067</v>
      </c>
      <c r="N29" s="441">
        <v>12731825</v>
      </c>
      <c r="O29" s="441"/>
      <c r="P29" s="441"/>
      <c r="Q29" s="441">
        <v>0</v>
      </c>
      <c r="R29" s="441">
        <v>1806916</v>
      </c>
      <c r="S29" s="433">
        <f t="shared" si="10"/>
        <v>15923808</v>
      </c>
      <c r="T29" s="445">
        <f t="shared" si="5"/>
        <v>0.0020144376396347445</v>
      </c>
    </row>
    <row r="30" spans="1:20" s="384" customFormat="1" ht="24.75" customHeight="1">
      <c r="A30" s="432" t="s">
        <v>56</v>
      </c>
      <c r="B30" s="446" t="s">
        <v>472</v>
      </c>
      <c r="C30" s="433">
        <f t="shared" si="9"/>
        <v>2090232</v>
      </c>
      <c r="D30" s="441">
        <v>1696588</v>
      </c>
      <c r="E30" s="441">
        <v>393644</v>
      </c>
      <c r="F30" s="441">
        <v>47000</v>
      </c>
      <c r="G30" s="441"/>
      <c r="H30" s="433">
        <f t="shared" si="3"/>
        <v>2043232</v>
      </c>
      <c r="I30" s="433">
        <f t="shared" si="8"/>
        <v>948826</v>
      </c>
      <c r="J30" s="441">
        <v>146020</v>
      </c>
      <c r="K30" s="441">
        <v>0</v>
      </c>
      <c r="L30" s="441">
        <v>0</v>
      </c>
      <c r="M30" s="441">
        <v>802806</v>
      </c>
      <c r="N30" s="441">
        <v>0</v>
      </c>
      <c r="O30" s="441">
        <v>0</v>
      </c>
      <c r="P30" s="441"/>
      <c r="Q30" s="441"/>
      <c r="R30" s="441">
        <v>1094406</v>
      </c>
      <c r="S30" s="433">
        <f t="shared" si="10"/>
        <v>1897212</v>
      </c>
      <c r="T30" s="445">
        <f t="shared" si="5"/>
        <v>0.15389544552952808</v>
      </c>
    </row>
    <row r="31" spans="1:20" s="384" customFormat="1" ht="24.75" customHeight="1">
      <c r="A31" s="432" t="s">
        <v>57</v>
      </c>
      <c r="B31" s="446" t="s">
        <v>437</v>
      </c>
      <c r="C31" s="433">
        <f t="shared" si="9"/>
        <v>4023706</v>
      </c>
      <c r="D31" s="441">
        <v>3588036</v>
      </c>
      <c r="E31" s="441">
        <v>435670</v>
      </c>
      <c r="F31" s="441">
        <v>0</v>
      </c>
      <c r="G31" s="441">
        <v>0</v>
      </c>
      <c r="H31" s="433">
        <f t="shared" si="3"/>
        <v>4023706</v>
      </c>
      <c r="I31" s="433">
        <f t="shared" si="8"/>
        <v>1987709</v>
      </c>
      <c r="J31" s="441">
        <v>168603</v>
      </c>
      <c r="K31" s="441">
        <v>0</v>
      </c>
      <c r="L31" s="441">
        <v>0</v>
      </c>
      <c r="M31" s="486">
        <v>1819106</v>
      </c>
      <c r="N31" s="441">
        <v>0</v>
      </c>
      <c r="O31" s="441">
        <v>0</v>
      </c>
      <c r="P31" s="441"/>
      <c r="Q31" s="441"/>
      <c r="R31" s="441">
        <v>2035997</v>
      </c>
      <c r="S31" s="433">
        <f t="shared" si="10"/>
        <v>3855103</v>
      </c>
      <c r="T31" s="445">
        <f t="shared" si="5"/>
        <v>0.08482277838456233</v>
      </c>
    </row>
    <row r="32" spans="1:22" s="384" customFormat="1" ht="29.25" customHeight="1">
      <c r="A32" s="512">
        <v>2</v>
      </c>
      <c r="B32" s="509" t="s">
        <v>438</v>
      </c>
      <c r="C32" s="510">
        <f>D32+E32</f>
        <v>5376597</v>
      </c>
      <c r="D32" s="510">
        <f>SUM(D33:D38)</f>
        <v>5038231</v>
      </c>
      <c r="E32" s="510">
        <f>SUM(E33:E38)</f>
        <v>338366</v>
      </c>
      <c r="F32" s="510">
        <f>SUM(F33:F38)</f>
        <v>51400</v>
      </c>
      <c r="G32" s="510">
        <f>SUM(G33:G38)</f>
        <v>0</v>
      </c>
      <c r="H32" s="510">
        <f>I32+R32</f>
        <v>5325197</v>
      </c>
      <c r="I32" s="510">
        <f>SUM(J32:Q32)</f>
        <v>2306467</v>
      </c>
      <c r="J32" s="510">
        <f aca="true" t="shared" si="11" ref="J32:S32">SUM(J33:J38)</f>
        <v>138488</v>
      </c>
      <c r="K32" s="510">
        <f t="shared" si="11"/>
        <v>27736</v>
      </c>
      <c r="L32" s="510">
        <f t="shared" si="11"/>
        <v>26409</v>
      </c>
      <c r="M32" s="510">
        <f t="shared" si="11"/>
        <v>1993684</v>
      </c>
      <c r="N32" s="510">
        <f t="shared" si="11"/>
        <v>0</v>
      </c>
      <c r="O32" s="510">
        <f t="shared" si="11"/>
        <v>0</v>
      </c>
      <c r="P32" s="510">
        <f t="shared" si="11"/>
        <v>0</v>
      </c>
      <c r="Q32" s="510">
        <f t="shared" si="11"/>
        <v>120150</v>
      </c>
      <c r="R32" s="510">
        <f t="shared" si="11"/>
        <v>3018730</v>
      </c>
      <c r="S32" s="510">
        <f t="shared" si="11"/>
        <v>5132564</v>
      </c>
      <c r="T32" s="511">
        <f t="shared" si="5"/>
        <v>0.0835186456168677</v>
      </c>
      <c r="U32" s="553">
        <f>I32/H32</f>
        <v>0.43312331919363734</v>
      </c>
      <c r="V32" s="554">
        <f>(S32-R32-1972763)/1972763</f>
        <v>0.0715093500841206</v>
      </c>
    </row>
    <row r="33" spans="1:20" s="384" customFormat="1" ht="24.75" customHeight="1">
      <c r="A33" s="432" t="s">
        <v>43</v>
      </c>
      <c r="B33" s="448" t="s">
        <v>439</v>
      </c>
      <c r="C33" s="433">
        <f aca="true" t="shared" si="12" ref="C33:C38">D33+E33</f>
        <v>112509</v>
      </c>
      <c r="D33" s="469">
        <v>101232</v>
      </c>
      <c r="E33" s="469">
        <v>11277</v>
      </c>
      <c r="F33" s="469">
        <v>400</v>
      </c>
      <c r="G33" s="433">
        <v>0</v>
      </c>
      <c r="H33" s="433">
        <f aca="true" t="shared" si="13" ref="H33:H38">I33+R33</f>
        <v>112109</v>
      </c>
      <c r="I33" s="433">
        <f aca="true" t="shared" si="14" ref="I33:I38">SUM(J33:Q33)</f>
        <v>19945</v>
      </c>
      <c r="J33" s="526">
        <v>4651</v>
      </c>
      <c r="K33" s="526">
        <v>0</v>
      </c>
      <c r="L33" s="526">
        <v>8644</v>
      </c>
      <c r="M33" s="526">
        <v>6500</v>
      </c>
      <c r="N33" s="526">
        <v>0</v>
      </c>
      <c r="O33" s="528">
        <v>0</v>
      </c>
      <c r="P33" s="528">
        <v>0</v>
      </c>
      <c r="Q33" s="528">
        <v>150</v>
      </c>
      <c r="R33" s="529">
        <v>92164</v>
      </c>
      <c r="S33" s="449">
        <f aca="true" t="shared" si="15" ref="S33:S38">C33-F33-G33-J33-K33-L33</f>
        <v>98814</v>
      </c>
      <c r="T33" s="445">
        <f t="shared" si="5"/>
        <v>0.6665831035347205</v>
      </c>
    </row>
    <row r="34" spans="1:20" s="384" customFormat="1" ht="24.75" customHeight="1">
      <c r="A34" s="432" t="s">
        <v>44</v>
      </c>
      <c r="B34" s="448" t="s">
        <v>440</v>
      </c>
      <c r="C34" s="433">
        <f t="shared" si="12"/>
        <v>1929156</v>
      </c>
      <c r="D34" s="469">
        <v>1796477</v>
      </c>
      <c r="E34" s="469">
        <v>132679</v>
      </c>
      <c r="F34" s="469">
        <v>0</v>
      </c>
      <c r="G34" s="433">
        <v>0</v>
      </c>
      <c r="H34" s="433">
        <f t="shared" si="13"/>
        <v>1929156</v>
      </c>
      <c r="I34" s="433">
        <f t="shared" si="14"/>
        <v>882807</v>
      </c>
      <c r="J34" s="526">
        <v>43222</v>
      </c>
      <c r="K34" s="526">
        <v>300</v>
      </c>
      <c r="L34" s="526">
        <v>0</v>
      </c>
      <c r="M34" s="526">
        <v>839285</v>
      </c>
      <c r="N34" s="526">
        <v>0</v>
      </c>
      <c r="O34" s="528">
        <v>0</v>
      </c>
      <c r="P34" s="528">
        <v>0</v>
      </c>
      <c r="Q34" s="528">
        <v>0</v>
      </c>
      <c r="R34" s="529">
        <v>1046349</v>
      </c>
      <c r="S34" s="449">
        <f t="shared" si="15"/>
        <v>1885634</v>
      </c>
      <c r="T34" s="445">
        <f t="shared" si="5"/>
        <v>0.04929956377781327</v>
      </c>
    </row>
    <row r="35" spans="1:20" s="384" customFormat="1" ht="24.75" customHeight="1">
      <c r="A35" s="432" t="s">
        <v>45</v>
      </c>
      <c r="B35" s="448" t="s">
        <v>436</v>
      </c>
      <c r="C35" s="433">
        <f t="shared" si="12"/>
        <v>672954</v>
      </c>
      <c r="D35" s="469">
        <v>584622</v>
      </c>
      <c r="E35" s="469">
        <v>88332</v>
      </c>
      <c r="F35" s="469">
        <v>51000</v>
      </c>
      <c r="G35" s="433">
        <v>0</v>
      </c>
      <c r="H35" s="433">
        <f t="shared" si="13"/>
        <v>621954</v>
      </c>
      <c r="I35" s="433">
        <f t="shared" si="14"/>
        <v>56853</v>
      </c>
      <c r="J35" s="526">
        <v>33258</v>
      </c>
      <c r="K35" s="526">
        <v>2275</v>
      </c>
      <c r="L35" s="526">
        <v>6008</v>
      </c>
      <c r="M35" s="526">
        <v>15312</v>
      </c>
      <c r="N35" s="526">
        <v>0</v>
      </c>
      <c r="O35" s="528">
        <v>0</v>
      </c>
      <c r="P35" s="528">
        <v>0</v>
      </c>
      <c r="Q35" s="528">
        <v>0</v>
      </c>
      <c r="R35" s="529">
        <v>565101</v>
      </c>
      <c r="S35" s="449">
        <f t="shared" si="15"/>
        <v>580413</v>
      </c>
      <c r="T35" s="445">
        <f t="shared" si="5"/>
        <v>0.7306738430689673</v>
      </c>
    </row>
    <row r="36" spans="1:20" s="384" customFormat="1" ht="24.75" customHeight="1">
      <c r="A36" s="432" t="s">
        <v>54</v>
      </c>
      <c r="B36" s="448" t="s">
        <v>441</v>
      </c>
      <c r="C36" s="433">
        <f t="shared" si="12"/>
        <v>540303</v>
      </c>
      <c r="D36" s="469">
        <v>494443</v>
      </c>
      <c r="E36" s="469">
        <v>45860</v>
      </c>
      <c r="F36" s="469">
        <v>0</v>
      </c>
      <c r="G36" s="433">
        <v>0</v>
      </c>
      <c r="H36" s="433">
        <f t="shared" si="13"/>
        <v>540303</v>
      </c>
      <c r="I36" s="433">
        <f t="shared" si="14"/>
        <v>407382</v>
      </c>
      <c r="J36" s="526">
        <v>22387</v>
      </c>
      <c r="K36" s="526">
        <v>0</v>
      </c>
      <c r="L36" s="526">
        <v>9046</v>
      </c>
      <c r="M36" s="526">
        <v>375949</v>
      </c>
      <c r="N36" s="526">
        <v>0</v>
      </c>
      <c r="O36" s="528">
        <v>0</v>
      </c>
      <c r="P36" s="528">
        <v>0</v>
      </c>
      <c r="Q36" s="528">
        <v>0</v>
      </c>
      <c r="R36" s="529">
        <v>132921</v>
      </c>
      <c r="S36" s="449">
        <f t="shared" si="15"/>
        <v>508870</v>
      </c>
      <c r="T36" s="445">
        <f t="shared" si="5"/>
        <v>0.07715853915980578</v>
      </c>
    </row>
    <row r="37" spans="1:20" s="384" customFormat="1" ht="24.75" customHeight="1">
      <c r="A37" s="432" t="s">
        <v>55</v>
      </c>
      <c r="B37" s="448" t="s">
        <v>465</v>
      </c>
      <c r="C37" s="433">
        <f t="shared" si="12"/>
        <v>637604</v>
      </c>
      <c r="D37" s="469">
        <v>625502</v>
      </c>
      <c r="E37" s="469">
        <v>12102</v>
      </c>
      <c r="F37" s="469">
        <v>0</v>
      </c>
      <c r="G37" s="433">
        <v>0</v>
      </c>
      <c r="H37" s="433">
        <f t="shared" si="13"/>
        <v>637604</v>
      </c>
      <c r="I37" s="433">
        <f t="shared" si="14"/>
        <v>94875</v>
      </c>
      <c r="J37" s="526">
        <v>7047</v>
      </c>
      <c r="K37" s="526">
        <v>7826</v>
      </c>
      <c r="L37" s="526">
        <v>2711</v>
      </c>
      <c r="M37" s="526">
        <v>77291</v>
      </c>
      <c r="N37" s="526">
        <v>0</v>
      </c>
      <c r="O37" s="528">
        <v>0</v>
      </c>
      <c r="P37" s="528">
        <v>0</v>
      </c>
      <c r="Q37" s="528">
        <v>0</v>
      </c>
      <c r="R37" s="529">
        <v>542729</v>
      </c>
      <c r="S37" s="449">
        <f t="shared" si="15"/>
        <v>620020</v>
      </c>
      <c r="T37" s="445">
        <f t="shared" si="5"/>
        <v>0.18533860342555994</v>
      </c>
    </row>
    <row r="38" spans="1:20" s="384" customFormat="1" ht="24.75" customHeight="1">
      <c r="A38" s="432" t="s">
        <v>56</v>
      </c>
      <c r="B38" s="450" t="s">
        <v>442</v>
      </c>
      <c r="C38" s="433">
        <f t="shared" si="12"/>
        <v>1484071</v>
      </c>
      <c r="D38" s="470">
        <v>1435955</v>
      </c>
      <c r="E38" s="470">
        <v>48116</v>
      </c>
      <c r="F38" s="470">
        <v>0</v>
      </c>
      <c r="G38" s="433">
        <v>0</v>
      </c>
      <c r="H38" s="433">
        <f t="shared" si="13"/>
        <v>1484071</v>
      </c>
      <c r="I38" s="433">
        <f t="shared" si="14"/>
        <v>844605</v>
      </c>
      <c r="J38" s="527">
        <v>27923</v>
      </c>
      <c r="K38" s="527">
        <v>17335</v>
      </c>
      <c r="L38" s="527">
        <v>0</v>
      </c>
      <c r="M38" s="527">
        <v>679347</v>
      </c>
      <c r="N38" s="527">
        <v>0</v>
      </c>
      <c r="O38" s="530">
        <v>0</v>
      </c>
      <c r="P38" s="530">
        <v>0</v>
      </c>
      <c r="Q38" s="530">
        <v>120000</v>
      </c>
      <c r="R38" s="529">
        <v>639466</v>
      </c>
      <c r="S38" s="449">
        <f t="shared" si="15"/>
        <v>1438813</v>
      </c>
      <c r="T38" s="445">
        <f t="shared" si="5"/>
        <v>0.05358481183511819</v>
      </c>
    </row>
    <row r="39" spans="1:22" s="384" customFormat="1" ht="35.25" customHeight="1">
      <c r="A39" s="512">
        <v>3</v>
      </c>
      <c r="B39" s="509" t="s">
        <v>462</v>
      </c>
      <c r="C39" s="510">
        <f>D39+E39</f>
        <v>19525519</v>
      </c>
      <c r="D39" s="510">
        <f>SUM(D40:D46)</f>
        <v>18672023</v>
      </c>
      <c r="E39" s="510">
        <f>SUM(E40:E46)</f>
        <v>853496</v>
      </c>
      <c r="F39" s="510">
        <f>SUM(F40:F46)</f>
        <v>0</v>
      </c>
      <c r="G39" s="510">
        <f>SUM(G40:G46)</f>
        <v>0</v>
      </c>
      <c r="H39" s="510">
        <f>I39+R39</f>
        <v>19525519</v>
      </c>
      <c r="I39" s="510">
        <f>SUM(J39:Q39)</f>
        <v>5729746</v>
      </c>
      <c r="J39" s="510">
        <f aca="true" t="shared" si="16" ref="J39:S39">SUM(J40:J46)</f>
        <v>101891</v>
      </c>
      <c r="K39" s="510">
        <f t="shared" si="16"/>
        <v>243400</v>
      </c>
      <c r="L39" s="510">
        <f t="shared" si="16"/>
        <v>0</v>
      </c>
      <c r="M39" s="510">
        <f t="shared" si="16"/>
        <v>3737476</v>
      </c>
      <c r="N39" s="510">
        <f t="shared" si="16"/>
        <v>1410932</v>
      </c>
      <c r="O39" s="510">
        <f t="shared" si="16"/>
        <v>0</v>
      </c>
      <c r="P39" s="510">
        <f t="shared" si="16"/>
        <v>0</v>
      </c>
      <c r="Q39" s="510">
        <f t="shared" si="16"/>
        <v>236047</v>
      </c>
      <c r="R39" s="510">
        <f t="shared" si="16"/>
        <v>13795773</v>
      </c>
      <c r="S39" s="510">
        <f t="shared" si="16"/>
        <v>19180228</v>
      </c>
      <c r="T39" s="511">
        <f t="shared" si="5"/>
        <v>0.0602628807629518</v>
      </c>
      <c r="U39" s="553">
        <f>I39/H39</f>
        <v>0.2934491011480924</v>
      </c>
      <c r="V39" s="554">
        <f>(S39-R39-4635029)/4635029</f>
        <v>0.16168744575276658</v>
      </c>
    </row>
    <row r="40" spans="1:20" s="384" customFormat="1" ht="24.75" customHeight="1">
      <c r="A40" s="432" t="s">
        <v>43</v>
      </c>
      <c r="B40" s="451" t="s">
        <v>466</v>
      </c>
      <c r="C40" s="433">
        <f aca="true" t="shared" si="17" ref="C40:C60">D40+E40</f>
        <v>191567</v>
      </c>
      <c r="D40" s="441">
        <v>187267</v>
      </c>
      <c r="E40" s="441">
        <v>4300</v>
      </c>
      <c r="F40" s="441"/>
      <c r="G40" s="452">
        <v>0</v>
      </c>
      <c r="H40" s="433">
        <f aca="true" t="shared" si="18" ref="H40:H60">I40+R40</f>
        <v>191567</v>
      </c>
      <c r="I40" s="433">
        <f aca="true" t="shared" si="19" ref="I40:I60">SUM(J40:Q40)</f>
        <v>4600</v>
      </c>
      <c r="J40" s="441">
        <v>4600</v>
      </c>
      <c r="K40" s="441">
        <v>0</v>
      </c>
      <c r="L40" s="441">
        <v>0</v>
      </c>
      <c r="M40" s="441">
        <v>0</v>
      </c>
      <c r="N40" s="441">
        <v>0</v>
      </c>
      <c r="O40" s="441">
        <v>0</v>
      </c>
      <c r="P40" s="441">
        <v>0</v>
      </c>
      <c r="Q40" s="441">
        <v>0</v>
      </c>
      <c r="R40" s="441">
        <v>186967</v>
      </c>
      <c r="S40" s="433">
        <f aca="true" t="shared" si="20" ref="S40:S46">C40-F40-G40-J40-K40-L40</f>
        <v>186967</v>
      </c>
      <c r="T40" s="445">
        <f t="shared" si="5"/>
        <v>1</v>
      </c>
    </row>
    <row r="41" spans="1:20" s="384" customFormat="1" ht="24.75" customHeight="1">
      <c r="A41" s="432" t="s">
        <v>44</v>
      </c>
      <c r="B41" s="451" t="s">
        <v>444</v>
      </c>
      <c r="C41" s="433">
        <f t="shared" si="17"/>
        <v>1109891</v>
      </c>
      <c r="D41" s="441">
        <v>1054829</v>
      </c>
      <c r="E41" s="441">
        <v>55062</v>
      </c>
      <c r="F41" s="441"/>
      <c r="G41" s="452">
        <v>0</v>
      </c>
      <c r="H41" s="433">
        <f t="shared" si="18"/>
        <v>1109891</v>
      </c>
      <c r="I41" s="433">
        <f t="shared" si="19"/>
        <v>256288</v>
      </c>
      <c r="J41" s="441">
        <v>27110</v>
      </c>
      <c r="K41" s="441">
        <v>0</v>
      </c>
      <c r="L41" s="441">
        <v>0</v>
      </c>
      <c r="M41" s="441">
        <v>228828</v>
      </c>
      <c r="N41" s="441">
        <v>0</v>
      </c>
      <c r="O41" s="441">
        <v>0</v>
      </c>
      <c r="P41" s="441">
        <v>0</v>
      </c>
      <c r="Q41" s="441">
        <v>350</v>
      </c>
      <c r="R41" s="441">
        <v>853603</v>
      </c>
      <c r="S41" s="433">
        <f t="shared" si="20"/>
        <v>1082781</v>
      </c>
      <c r="T41" s="445">
        <f t="shared" si="5"/>
        <v>0.10577943563491073</v>
      </c>
    </row>
    <row r="42" spans="1:20" s="384" customFormat="1" ht="24.75" customHeight="1">
      <c r="A42" s="432" t="s">
        <v>45</v>
      </c>
      <c r="B42" s="451" t="s">
        <v>445</v>
      </c>
      <c r="C42" s="433">
        <f t="shared" si="17"/>
        <v>1818807</v>
      </c>
      <c r="D42" s="441">
        <v>1764603</v>
      </c>
      <c r="E42" s="441">
        <v>54204</v>
      </c>
      <c r="F42" s="441"/>
      <c r="G42" s="452">
        <v>0</v>
      </c>
      <c r="H42" s="433">
        <f t="shared" si="18"/>
        <v>1818807</v>
      </c>
      <c r="I42" s="433">
        <f t="shared" si="19"/>
        <v>327436</v>
      </c>
      <c r="J42" s="441">
        <v>31445</v>
      </c>
      <c r="K42" s="441">
        <v>10500</v>
      </c>
      <c r="L42" s="441">
        <v>0</v>
      </c>
      <c r="M42" s="441">
        <v>281597</v>
      </c>
      <c r="N42" s="441">
        <v>0</v>
      </c>
      <c r="O42" s="441">
        <v>0</v>
      </c>
      <c r="P42" s="441">
        <v>0</v>
      </c>
      <c r="Q42" s="441">
        <v>3894</v>
      </c>
      <c r="R42" s="441">
        <v>1491371</v>
      </c>
      <c r="S42" s="433">
        <f t="shared" si="20"/>
        <v>1776862</v>
      </c>
      <c r="T42" s="445">
        <f t="shared" si="5"/>
        <v>0.12810136942791875</v>
      </c>
    </row>
    <row r="43" spans="1:20" s="384" customFormat="1" ht="24.75" customHeight="1">
      <c r="A43" s="432" t="s">
        <v>54</v>
      </c>
      <c r="B43" s="451" t="s">
        <v>446</v>
      </c>
      <c r="C43" s="433">
        <f t="shared" si="17"/>
        <v>2807333</v>
      </c>
      <c r="D43" s="441">
        <v>2320711</v>
      </c>
      <c r="E43" s="441">
        <v>486622</v>
      </c>
      <c r="F43" s="441"/>
      <c r="G43" s="452">
        <v>0</v>
      </c>
      <c r="H43" s="433">
        <f t="shared" si="18"/>
        <v>2807333</v>
      </c>
      <c r="I43" s="433">
        <f t="shared" si="19"/>
        <v>2069144</v>
      </c>
      <c r="J43" s="441">
        <v>3771</v>
      </c>
      <c r="K43" s="441">
        <v>162700</v>
      </c>
      <c r="L43" s="441">
        <v>0</v>
      </c>
      <c r="M43" s="441">
        <v>1803244</v>
      </c>
      <c r="N43" s="441">
        <v>0</v>
      </c>
      <c r="O43" s="441">
        <v>0</v>
      </c>
      <c r="P43" s="441">
        <v>0</v>
      </c>
      <c r="Q43" s="441">
        <v>99429</v>
      </c>
      <c r="R43" s="441">
        <v>738189</v>
      </c>
      <c r="S43" s="433">
        <f t="shared" si="20"/>
        <v>2640862</v>
      </c>
      <c r="T43" s="445">
        <f t="shared" si="5"/>
        <v>0.08045404283123843</v>
      </c>
    </row>
    <row r="44" spans="1:20" s="384" customFormat="1" ht="24.75" customHeight="1">
      <c r="A44" s="432">
        <v>5</v>
      </c>
      <c r="B44" s="451" t="s">
        <v>447</v>
      </c>
      <c r="C44" s="433">
        <f t="shared" si="17"/>
        <v>9921070</v>
      </c>
      <c r="D44" s="441">
        <v>9817164</v>
      </c>
      <c r="E44" s="441">
        <v>103906</v>
      </c>
      <c r="F44" s="441"/>
      <c r="G44" s="452"/>
      <c r="H44" s="433">
        <f t="shared" si="18"/>
        <v>9921070</v>
      </c>
      <c r="I44" s="433">
        <f t="shared" si="19"/>
        <v>1847782</v>
      </c>
      <c r="J44" s="441">
        <v>22322</v>
      </c>
      <c r="K44" s="441">
        <v>0</v>
      </c>
      <c r="L44" s="441">
        <v>0</v>
      </c>
      <c r="M44" s="441">
        <v>992316</v>
      </c>
      <c r="N44" s="441">
        <v>784000</v>
      </c>
      <c r="O44" s="441">
        <v>0</v>
      </c>
      <c r="P44" s="441">
        <v>0</v>
      </c>
      <c r="Q44" s="441">
        <v>49144</v>
      </c>
      <c r="R44" s="441">
        <v>8073288</v>
      </c>
      <c r="S44" s="433">
        <f t="shared" si="20"/>
        <v>9898748</v>
      </c>
      <c r="T44" s="445">
        <f t="shared" si="5"/>
        <v>0.012080429401303834</v>
      </c>
    </row>
    <row r="45" spans="1:20" s="384" customFormat="1" ht="24.75" customHeight="1">
      <c r="A45" s="432">
        <v>6</v>
      </c>
      <c r="B45" s="451" t="s">
        <v>475</v>
      </c>
      <c r="C45" s="433">
        <f t="shared" si="17"/>
        <v>2936880</v>
      </c>
      <c r="D45" s="441">
        <v>2935579</v>
      </c>
      <c r="E45" s="441">
        <v>1301</v>
      </c>
      <c r="F45" s="441"/>
      <c r="G45" s="452">
        <v>0</v>
      </c>
      <c r="H45" s="433">
        <f t="shared" si="18"/>
        <v>2936880</v>
      </c>
      <c r="I45" s="433">
        <f t="shared" si="19"/>
        <v>808733</v>
      </c>
      <c r="J45" s="441">
        <v>1301</v>
      </c>
      <c r="K45" s="441">
        <v>3400</v>
      </c>
      <c r="L45" s="441">
        <v>0</v>
      </c>
      <c r="M45" s="441">
        <v>177100</v>
      </c>
      <c r="N45" s="441">
        <v>626932</v>
      </c>
      <c r="O45" s="441">
        <v>0</v>
      </c>
      <c r="P45" s="441">
        <v>0</v>
      </c>
      <c r="Q45" s="441">
        <v>0</v>
      </c>
      <c r="R45" s="441">
        <v>2128147</v>
      </c>
      <c r="S45" s="433">
        <f t="shared" si="20"/>
        <v>2932179</v>
      </c>
      <c r="T45" s="445">
        <f t="shared" si="5"/>
        <v>0.005812796064955925</v>
      </c>
    </row>
    <row r="46" spans="1:20" s="384" customFormat="1" ht="24.75" customHeight="1">
      <c r="A46" s="432">
        <v>7</v>
      </c>
      <c r="B46" s="451" t="s">
        <v>435</v>
      </c>
      <c r="C46" s="433">
        <f t="shared" si="17"/>
        <v>739971</v>
      </c>
      <c r="D46" s="441">
        <v>591870</v>
      </c>
      <c r="E46" s="441">
        <v>148101</v>
      </c>
      <c r="F46" s="441"/>
      <c r="G46" s="452">
        <v>0</v>
      </c>
      <c r="H46" s="433">
        <f t="shared" si="18"/>
        <v>739971</v>
      </c>
      <c r="I46" s="433">
        <f t="shared" si="19"/>
        <v>415763</v>
      </c>
      <c r="J46" s="441">
        <v>11342</v>
      </c>
      <c r="K46" s="441">
        <v>66800</v>
      </c>
      <c r="L46" s="441">
        <v>0</v>
      </c>
      <c r="M46" s="441">
        <v>254391</v>
      </c>
      <c r="N46" s="441">
        <v>0</v>
      </c>
      <c r="O46" s="441">
        <v>0</v>
      </c>
      <c r="P46" s="441">
        <v>0</v>
      </c>
      <c r="Q46" s="441">
        <v>83230</v>
      </c>
      <c r="R46" s="441">
        <v>324208</v>
      </c>
      <c r="S46" s="433">
        <f t="shared" si="20"/>
        <v>661829</v>
      </c>
      <c r="T46" s="445">
        <f t="shared" si="5"/>
        <v>0.18794842253880215</v>
      </c>
    </row>
    <row r="47" spans="1:22" s="384" customFormat="1" ht="24.75" customHeight="1">
      <c r="A47" s="512">
        <v>4</v>
      </c>
      <c r="B47" s="509" t="s">
        <v>449</v>
      </c>
      <c r="C47" s="513">
        <f aca="true" t="shared" si="21" ref="C47:S47">SUM(C48:C50)</f>
        <v>11889122</v>
      </c>
      <c r="D47" s="513">
        <f t="shared" si="21"/>
        <v>10602855</v>
      </c>
      <c r="E47" s="513">
        <f t="shared" si="21"/>
        <v>1286267</v>
      </c>
      <c r="F47" s="513">
        <f t="shared" si="21"/>
        <v>7455288</v>
      </c>
      <c r="G47" s="513">
        <f t="shared" si="21"/>
        <v>0</v>
      </c>
      <c r="H47" s="513">
        <f t="shared" si="21"/>
        <v>4433834</v>
      </c>
      <c r="I47" s="513">
        <f t="shared" si="21"/>
        <v>1740608</v>
      </c>
      <c r="J47" s="510">
        <f>J48+J49+J50</f>
        <v>128148</v>
      </c>
      <c r="K47" s="510">
        <f>K48+K49+K50</f>
        <v>16810</v>
      </c>
      <c r="L47" s="510">
        <f aca="true" t="shared" si="22" ref="L47:R47">L48+L49+L50</f>
        <v>0</v>
      </c>
      <c r="M47" s="510">
        <f t="shared" si="22"/>
        <v>1318450</v>
      </c>
      <c r="N47" s="510">
        <f t="shared" si="22"/>
        <v>277200</v>
      </c>
      <c r="O47" s="510">
        <f t="shared" si="22"/>
        <v>0</v>
      </c>
      <c r="P47" s="510">
        <f t="shared" si="22"/>
        <v>0</v>
      </c>
      <c r="Q47" s="510">
        <f t="shared" si="22"/>
        <v>0</v>
      </c>
      <c r="R47" s="510">
        <f t="shared" si="22"/>
        <v>2693226</v>
      </c>
      <c r="S47" s="514">
        <f t="shared" si="21"/>
        <v>4288876</v>
      </c>
      <c r="T47" s="515">
        <f>(K47+J47+L47)/I47</f>
        <v>0.08328009523109166</v>
      </c>
      <c r="U47" s="553">
        <f>I47/H47</f>
        <v>0.39257401156651334</v>
      </c>
      <c r="V47" s="554">
        <f>(S47-R47-8133826)/8133826</f>
        <v>-0.8038254076248987</v>
      </c>
    </row>
    <row r="48" spans="1:20" s="384" customFormat="1" ht="24.75" customHeight="1">
      <c r="A48" s="432" t="s">
        <v>43</v>
      </c>
      <c r="B48" s="448" t="s">
        <v>457</v>
      </c>
      <c r="C48" s="433">
        <f t="shared" si="17"/>
        <v>814794</v>
      </c>
      <c r="D48" s="477">
        <v>782661</v>
      </c>
      <c r="E48" s="477">
        <v>32133</v>
      </c>
      <c r="F48" s="477">
        <v>0</v>
      </c>
      <c r="G48" s="453"/>
      <c r="H48" s="434">
        <f t="shared" si="18"/>
        <v>814794</v>
      </c>
      <c r="I48" s="434">
        <f t="shared" si="19"/>
        <v>89437</v>
      </c>
      <c r="J48" s="477">
        <v>25333</v>
      </c>
      <c r="K48" s="477">
        <v>0</v>
      </c>
      <c r="L48" s="477"/>
      <c r="M48" s="477">
        <v>31104</v>
      </c>
      <c r="N48" s="477">
        <v>33000</v>
      </c>
      <c r="O48" s="477"/>
      <c r="P48" s="477"/>
      <c r="Q48" s="540"/>
      <c r="R48" s="541">
        <v>725357</v>
      </c>
      <c r="S48" s="542">
        <f>C48-F48-G48-J48-K48-L48</f>
        <v>789461</v>
      </c>
      <c r="T48" s="445">
        <f t="shared" si="5"/>
        <v>0.2832496617730917</v>
      </c>
    </row>
    <row r="49" spans="1:20" s="384" customFormat="1" ht="24.75" customHeight="1">
      <c r="A49" s="432" t="s">
        <v>44</v>
      </c>
      <c r="B49" s="448" t="s">
        <v>451</v>
      </c>
      <c r="C49" s="433">
        <f t="shared" si="17"/>
        <v>1764469</v>
      </c>
      <c r="D49" s="477">
        <v>969354</v>
      </c>
      <c r="E49" s="477">
        <v>795115</v>
      </c>
      <c r="F49" s="477"/>
      <c r="G49" s="453"/>
      <c r="H49" s="434">
        <f t="shared" si="18"/>
        <v>1764469</v>
      </c>
      <c r="I49" s="434">
        <f t="shared" si="19"/>
        <v>1114688</v>
      </c>
      <c r="J49" s="477">
        <v>72491</v>
      </c>
      <c r="K49" s="477">
        <v>16810</v>
      </c>
      <c r="L49" s="477"/>
      <c r="M49" s="477">
        <v>781187</v>
      </c>
      <c r="N49" s="477">
        <v>244200</v>
      </c>
      <c r="O49" s="477"/>
      <c r="P49" s="477"/>
      <c r="Q49" s="540"/>
      <c r="R49" s="541">
        <v>649781</v>
      </c>
      <c r="S49" s="542">
        <f>C49-F49-G49-J49-K49-L49</f>
        <v>1675168</v>
      </c>
      <c r="T49" s="445">
        <f t="shared" si="5"/>
        <v>0.08011300022966068</v>
      </c>
    </row>
    <row r="50" spans="1:20" s="384" customFormat="1" ht="24.75" customHeight="1">
      <c r="A50" s="432">
        <v>3</v>
      </c>
      <c r="B50" s="448" t="s">
        <v>455</v>
      </c>
      <c r="C50" s="433">
        <f t="shared" si="17"/>
        <v>9309859</v>
      </c>
      <c r="D50" s="477">
        <v>8850840</v>
      </c>
      <c r="E50" s="477">
        <v>459019</v>
      </c>
      <c r="F50" s="477">
        <v>7455288</v>
      </c>
      <c r="G50" s="453"/>
      <c r="H50" s="434">
        <f t="shared" si="18"/>
        <v>1854571</v>
      </c>
      <c r="I50" s="434">
        <f t="shared" si="19"/>
        <v>536483</v>
      </c>
      <c r="J50" s="477">
        <v>30324</v>
      </c>
      <c r="K50" s="477">
        <v>0</v>
      </c>
      <c r="L50" s="477"/>
      <c r="M50" s="477">
        <v>506159</v>
      </c>
      <c r="N50" s="477">
        <v>0</v>
      </c>
      <c r="O50" s="477"/>
      <c r="P50" s="477"/>
      <c r="Q50" s="540"/>
      <c r="R50" s="541">
        <v>1318088</v>
      </c>
      <c r="S50" s="542">
        <f>C50-F50-G50-J50-K50-L50</f>
        <v>1824247</v>
      </c>
      <c r="T50" s="445">
        <f t="shared" si="5"/>
        <v>0.05652369226983893</v>
      </c>
    </row>
    <row r="51" spans="1:22" s="384" customFormat="1" ht="24.75" customHeight="1">
      <c r="A51" s="512">
        <v>5</v>
      </c>
      <c r="B51" s="509" t="s">
        <v>452</v>
      </c>
      <c r="C51" s="510">
        <f t="shared" si="17"/>
        <v>5492893</v>
      </c>
      <c r="D51" s="510">
        <f>SUM(D52:D54)</f>
        <v>4446120</v>
      </c>
      <c r="E51" s="510">
        <f>SUM(E52:E54)</f>
        <v>1046773</v>
      </c>
      <c r="F51" s="510">
        <f>SUM(F52:F54)</f>
        <v>12000</v>
      </c>
      <c r="G51" s="510">
        <f>SUM(G52:G54)</f>
        <v>0</v>
      </c>
      <c r="H51" s="510">
        <f>I51+R51</f>
        <v>5480893</v>
      </c>
      <c r="I51" s="510">
        <f t="shared" si="19"/>
        <v>2518765</v>
      </c>
      <c r="J51" s="510">
        <f aca="true" t="shared" si="23" ref="J51:S51">SUM(J52:J54)</f>
        <v>182343</v>
      </c>
      <c r="K51" s="510">
        <f t="shared" si="23"/>
        <v>38468</v>
      </c>
      <c r="L51" s="510">
        <f t="shared" si="23"/>
        <v>0</v>
      </c>
      <c r="M51" s="510">
        <f t="shared" si="23"/>
        <v>2297954</v>
      </c>
      <c r="N51" s="510">
        <f t="shared" si="23"/>
        <v>0</v>
      </c>
      <c r="O51" s="510">
        <f t="shared" si="23"/>
        <v>0</v>
      </c>
      <c r="P51" s="510">
        <f t="shared" si="23"/>
        <v>0</v>
      </c>
      <c r="Q51" s="510">
        <f t="shared" si="23"/>
        <v>0</v>
      </c>
      <c r="R51" s="510">
        <f t="shared" si="23"/>
        <v>2962128</v>
      </c>
      <c r="S51" s="510">
        <f t="shared" si="23"/>
        <v>5260082</v>
      </c>
      <c r="T51" s="511">
        <f t="shared" si="5"/>
        <v>0.08766637618039</v>
      </c>
      <c r="U51" s="553">
        <f>I51/H51</f>
        <v>0.45955376249819146</v>
      </c>
      <c r="V51" s="554">
        <f>(S51-R51-1418975)/1418975</f>
        <v>0.6194464314029493</v>
      </c>
    </row>
    <row r="52" spans="1:20" s="384" customFormat="1" ht="24.75" customHeight="1">
      <c r="A52" s="432" t="s">
        <v>43</v>
      </c>
      <c r="B52" s="454" t="s">
        <v>453</v>
      </c>
      <c r="C52" s="433">
        <f>D52+E52</f>
        <v>533583</v>
      </c>
      <c r="D52" s="476">
        <v>441997</v>
      </c>
      <c r="E52" s="476">
        <v>91586</v>
      </c>
      <c r="F52" s="476"/>
      <c r="G52" s="476"/>
      <c r="H52" s="433">
        <f t="shared" si="18"/>
        <v>533583</v>
      </c>
      <c r="I52" s="433">
        <f t="shared" si="19"/>
        <v>216238</v>
      </c>
      <c r="J52" s="476">
        <v>44955</v>
      </c>
      <c r="K52" s="476">
        <v>20500</v>
      </c>
      <c r="L52" s="476"/>
      <c r="M52" s="476">
        <v>150783</v>
      </c>
      <c r="N52" s="476"/>
      <c r="O52" s="531"/>
      <c r="P52" s="531"/>
      <c r="Q52" s="531"/>
      <c r="R52" s="532">
        <v>317345</v>
      </c>
      <c r="S52" s="433">
        <f aca="true" t="shared" si="24" ref="S52:S57">C52-F52-G52-J52-K52-L52</f>
        <v>468128</v>
      </c>
      <c r="T52" s="445">
        <f t="shared" si="5"/>
        <v>0.30269887808803264</v>
      </c>
    </row>
    <row r="53" spans="1:20" s="384" customFormat="1" ht="24.75" customHeight="1">
      <c r="A53" s="432" t="s">
        <v>44</v>
      </c>
      <c r="B53" s="454" t="s">
        <v>454</v>
      </c>
      <c r="C53" s="433">
        <f>D53+E53</f>
        <v>2017861</v>
      </c>
      <c r="D53" s="476">
        <v>1400958</v>
      </c>
      <c r="E53" s="476">
        <v>616903</v>
      </c>
      <c r="F53" s="476">
        <v>12000</v>
      </c>
      <c r="G53" s="476"/>
      <c r="H53" s="433">
        <f t="shared" si="18"/>
        <v>2005861</v>
      </c>
      <c r="I53" s="433">
        <f t="shared" si="19"/>
        <v>1344465</v>
      </c>
      <c r="J53" s="476">
        <v>83790</v>
      </c>
      <c r="K53" s="476">
        <v>17968</v>
      </c>
      <c r="L53" s="476"/>
      <c r="M53" s="476">
        <v>1242707</v>
      </c>
      <c r="N53" s="476"/>
      <c r="O53" s="531"/>
      <c r="P53" s="531"/>
      <c r="Q53" s="531"/>
      <c r="R53" s="532">
        <v>661396</v>
      </c>
      <c r="S53" s="433">
        <f t="shared" si="24"/>
        <v>1904103</v>
      </c>
      <c r="T53" s="445">
        <f t="shared" si="5"/>
        <v>0.07568661140304879</v>
      </c>
    </row>
    <row r="54" spans="1:20" s="384" customFormat="1" ht="24.75" customHeight="1">
      <c r="A54" s="432" t="s">
        <v>45</v>
      </c>
      <c r="B54" s="454" t="s">
        <v>448</v>
      </c>
      <c r="C54" s="433">
        <f>D54+E54</f>
        <v>2941449</v>
      </c>
      <c r="D54" s="476">
        <v>2603165</v>
      </c>
      <c r="E54" s="476">
        <v>338284</v>
      </c>
      <c r="F54" s="476"/>
      <c r="G54" s="476"/>
      <c r="H54" s="433">
        <f t="shared" si="18"/>
        <v>2941449</v>
      </c>
      <c r="I54" s="433">
        <f t="shared" si="19"/>
        <v>958062</v>
      </c>
      <c r="J54" s="476">
        <v>53598</v>
      </c>
      <c r="K54" s="476"/>
      <c r="L54" s="476"/>
      <c r="M54" s="476">
        <v>904464</v>
      </c>
      <c r="N54" s="476"/>
      <c r="O54" s="531"/>
      <c r="P54" s="531"/>
      <c r="Q54" s="531"/>
      <c r="R54" s="532">
        <v>1983387</v>
      </c>
      <c r="S54" s="433">
        <f t="shared" si="24"/>
        <v>2887851</v>
      </c>
      <c r="T54" s="445">
        <f t="shared" si="5"/>
        <v>0.05594418732816874</v>
      </c>
    </row>
    <row r="55" spans="1:22" s="384" customFormat="1" ht="28.5" customHeight="1">
      <c r="A55" s="512">
        <v>6</v>
      </c>
      <c r="B55" s="509" t="s">
        <v>456</v>
      </c>
      <c r="C55" s="510">
        <f t="shared" si="17"/>
        <v>1059205</v>
      </c>
      <c r="D55" s="510">
        <f>D56+D57</f>
        <v>1051654</v>
      </c>
      <c r="E55" s="510">
        <f>SUM(E56:E57)</f>
        <v>7551</v>
      </c>
      <c r="F55" s="510">
        <f>SUM(F56:F57)</f>
        <v>0</v>
      </c>
      <c r="G55" s="510">
        <f>SUM(G56:G57)</f>
        <v>0</v>
      </c>
      <c r="H55" s="510">
        <f t="shared" si="18"/>
        <v>1059205</v>
      </c>
      <c r="I55" s="510">
        <f t="shared" si="19"/>
        <v>216876</v>
      </c>
      <c r="J55" s="510">
        <f aca="true" t="shared" si="25" ref="J55:R55">SUM(J56:J57)</f>
        <v>10171</v>
      </c>
      <c r="K55" s="510">
        <f t="shared" si="25"/>
        <v>0</v>
      </c>
      <c r="L55" s="510">
        <f t="shared" si="25"/>
        <v>0</v>
      </c>
      <c r="M55" s="510">
        <f t="shared" si="25"/>
        <v>206705</v>
      </c>
      <c r="N55" s="510">
        <f t="shared" si="25"/>
        <v>0</v>
      </c>
      <c r="O55" s="510">
        <f t="shared" si="25"/>
        <v>0</v>
      </c>
      <c r="P55" s="510">
        <f t="shared" si="25"/>
        <v>0</v>
      </c>
      <c r="Q55" s="510">
        <f t="shared" si="25"/>
        <v>0</v>
      </c>
      <c r="R55" s="510">
        <f t="shared" si="25"/>
        <v>842329</v>
      </c>
      <c r="S55" s="510">
        <f t="shared" si="24"/>
        <v>1049034</v>
      </c>
      <c r="T55" s="511">
        <f t="shared" si="5"/>
        <v>0.04689776646563013</v>
      </c>
      <c r="U55" s="553">
        <f>I55/H55</f>
        <v>0.2047535651738804</v>
      </c>
      <c r="V55" s="554">
        <f>(S55-R55-206675)/206675</f>
        <v>0.00014515543728075482</v>
      </c>
    </row>
    <row r="56" spans="1:20" s="384" customFormat="1" ht="24.75" customHeight="1">
      <c r="A56" s="432" t="s">
        <v>43</v>
      </c>
      <c r="B56" s="455" t="s">
        <v>450</v>
      </c>
      <c r="C56" s="433">
        <f t="shared" si="17"/>
        <v>672377</v>
      </c>
      <c r="D56" s="469">
        <v>666435</v>
      </c>
      <c r="E56" s="469">
        <v>5942</v>
      </c>
      <c r="F56" s="469"/>
      <c r="G56" s="444">
        <v>0</v>
      </c>
      <c r="H56" s="449">
        <f t="shared" si="18"/>
        <v>672377</v>
      </c>
      <c r="I56" s="449">
        <f>SUM(J56:Q56)</f>
        <v>211167</v>
      </c>
      <c r="J56" s="469">
        <v>7462</v>
      </c>
      <c r="K56" s="469">
        <v>0</v>
      </c>
      <c r="L56" s="469">
        <v>0</v>
      </c>
      <c r="M56" s="469">
        <v>203705</v>
      </c>
      <c r="N56" s="469">
        <v>0</v>
      </c>
      <c r="O56" s="471">
        <v>0</v>
      </c>
      <c r="P56" s="471">
        <v>0</v>
      </c>
      <c r="Q56" s="471">
        <v>0</v>
      </c>
      <c r="R56" s="472">
        <v>461210</v>
      </c>
      <c r="S56" s="433">
        <f t="shared" si="24"/>
        <v>664915</v>
      </c>
      <c r="T56" s="445">
        <f t="shared" si="5"/>
        <v>0.03533696079406347</v>
      </c>
    </row>
    <row r="57" spans="1:20" s="384" customFormat="1" ht="24.75" customHeight="1">
      <c r="A57" s="432" t="s">
        <v>44</v>
      </c>
      <c r="B57" s="448" t="s">
        <v>458</v>
      </c>
      <c r="C57" s="433">
        <f t="shared" si="17"/>
        <v>386828</v>
      </c>
      <c r="D57" s="518">
        <v>385219</v>
      </c>
      <c r="E57" s="475">
        <v>1609</v>
      </c>
      <c r="F57" s="538"/>
      <c r="G57" s="456">
        <v>0</v>
      </c>
      <c r="H57" s="449">
        <f t="shared" si="18"/>
        <v>386828</v>
      </c>
      <c r="I57" s="449">
        <f t="shared" si="19"/>
        <v>5709</v>
      </c>
      <c r="J57" s="518">
        <v>2709</v>
      </c>
      <c r="K57" s="518">
        <v>0</v>
      </c>
      <c r="L57" s="518">
        <v>0</v>
      </c>
      <c r="M57" s="475">
        <v>3000</v>
      </c>
      <c r="N57" s="518">
        <v>0</v>
      </c>
      <c r="O57" s="519">
        <v>0</v>
      </c>
      <c r="P57" s="519">
        <v>0</v>
      </c>
      <c r="Q57" s="519">
        <v>0</v>
      </c>
      <c r="R57" s="472">
        <v>381119</v>
      </c>
      <c r="S57" s="433">
        <f t="shared" si="24"/>
        <v>384119</v>
      </c>
      <c r="T57" s="445">
        <f t="shared" si="5"/>
        <v>0.4745139253809774</v>
      </c>
    </row>
    <row r="58" spans="1:22" s="384" customFormat="1" ht="24.75" customHeight="1">
      <c r="A58" s="512">
        <v>7</v>
      </c>
      <c r="B58" s="509" t="s">
        <v>459</v>
      </c>
      <c r="C58" s="516">
        <f t="shared" si="17"/>
        <v>2170375</v>
      </c>
      <c r="D58" s="516">
        <f>SUM(D59:D60)</f>
        <v>1844360</v>
      </c>
      <c r="E58" s="516">
        <f>SUM(E59:E60)</f>
        <v>326015</v>
      </c>
      <c r="F58" s="517">
        <f>F59+F60</f>
        <v>0</v>
      </c>
      <c r="G58" s="516">
        <f aca="true" t="shared" si="26" ref="G58:S58">SUM(G59:G60)</f>
        <v>0</v>
      </c>
      <c r="H58" s="516">
        <f t="shared" si="26"/>
        <v>2170375</v>
      </c>
      <c r="I58" s="516">
        <f t="shared" si="26"/>
        <v>348915</v>
      </c>
      <c r="J58" s="516">
        <f t="shared" si="26"/>
        <v>79318</v>
      </c>
      <c r="K58" s="516">
        <f t="shared" si="26"/>
        <v>0</v>
      </c>
      <c r="L58" s="516">
        <f t="shared" si="26"/>
        <v>0</v>
      </c>
      <c r="M58" s="516">
        <f t="shared" si="26"/>
        <v>269597</v>
      </c>
      <c r="N58" s="516">
        <f t="shared" si="26"/>
        <v>0</v>
      </c>
      <c r="O58" s="516">
        <f t="shared" si="26"/>
        <v>0</v>
      </c>
      <c r="P58" s="516">
        <f t="shared" si="26"/>
        <v>0</v>
      </c>
      <c r="Q58" s="516">
        <f t="shared" si="26"/>
        <v>0</v>
      </c>
      <c r="R58" s="516">
        <f t="shared" si="26"/>
        <v>1821460</v>
      </c>
      <c r="S58" s="516">
        <f t="shared" si="26"/>
        <v>2091057</v>
      </c>
      <c r="T58" s="511">
        <f t="shared" si="5"/>
        <v>0.22732757261797285</v>
      </c>
      <c r="U58" s="553">
        <f>I58/H58</f>
        <v>0.16076254103553533</v>
      </c>
      <c r="V58" s="554" t="e">
        <f>(S58-R58-0)/0</f>
        <v>#DIV/0!</v>
      </c>
    </row>
    <row r="59" spans="1:20" s="384" customFormat="1" ht="24.75" customHeight="1">
      <c r="A59" s="443">
        <v>1</v>
      </c>
      <c r="B59" s="457" t="s">
        <v>460</v>
      </c>
      <c r="C59" s="433">
        <f t="shared" si="17"/>
        <v>189400</v>
      </c>
      <c r="D59" s="534">
        <v>116700</v>
      </c>
      <c r="E59" s="535">
        <v>72700</v>
      </c>
      <c r="F59" s="536"/>
      <c r="G59" s="458">
        <v>0</v>
      </c>
      <c r="H59" s="433">
        <f t="shared" si="18"/>
        <v>189400</v>
      </c>
      <c r="I59" s="433">
        <f t="shared" si="19"/>
        <v>72700</v>
      </c>
      <c r="J59" s="535">
        <v>3500</v>
      </c>
      <c r="K59" s="535">
        <v>0</v>
      </c>
      <c r="L59" s="537">
        <v>0</v>
      </c>
      <c r="M59" s="537">
        <v>69200</v>
      </c>
      <c r="N59" s="536">
        <v>0</v>
      </c>
      <c r="O59" s="535">
        <v>0</v>
      </c>
      <c r="P59" s="535">
        <v>0</v>
      </c>
      <c r="Q59" s="535">
        <v>0</v>
      </c>
      <c r="R59" s="535">
        <v>116700</v>
      </c>
      <c r="S59" s="433">
        <f>C59-F59-G59-J59-K59-L59</f>
        <v>185900</v>
      </c>
      <c r="T59" s="445">
        <f t="shared" si="5"/>
        <v>0.048143053645116916</v>
      </c>
    </row>
    <row r="60" spans="1:20" s="384" customFormat="1" ht="24.75" customHeight="1">
      <c r="A60" s="432">
        <v>2</v>
      </c>
      <c r="B60" s="457" t="s">
        <v>461</v>
      </c>
      <c r="C60" s="433">
        <f t="shared" si="17"/>
        <v>1980975</v>
      </c>
      <c r="D60" s="534">
        <v>1727660</v>
      </c>
      <c r="E60" s="535">
        <v>253315</v>
      </c>
      <c r="F60" s="536"/>
      <c r="G60" s="458">
        <v>0</v>
      </c>
      <c r="H60" s="433">
        <f t="shared" si="18"/>
        <v>1980975</v>
      </c>
      <c r="I60" s="433">
        <f t="shared" si="19"/>
        <v>276215</v>
      </c>
      <c r="J60" s="535">
        <v>75818</v>
      </c>
      <c r="K60" s="535"/>
      <c r="L60" s="537">
        <v>0</v>
      </c>
      <c r="M60" s="537">
        <v>200397</v>
      </c>
      <c r="N60" s="536">
        <v>0</v>
      </c>
      <c r="O60" s="535">
        <v>0</v>
      </c>
      <c r="P60" s="535">
        <v>0</v>
      </c>
      <c r="Q60" s="535">
        <v>0</v>
      </c>
      <c r="R60" s="535">
        <v>1704760</v>
      </c>
      <c r="S60" s="433">
        <f>C60-F60-G60-J60-K60-L60</f>
        <v>1905157</v>
      </c>
      <c r="T60" s="445">
        <f t="shared" si="5"/>
        <v>0.27448907553898233</v>
      </c>
    </row>
    <row r="61" spans="1:21" s="384" customFormat="1" ht="24.75" customHeight="1" thickBot="1">
      <c r="A61" s="868"/>
      <c r="B61" s="868"/>
      <c r="C61" s="868"/>
      <c r="D61" s="868"/>
      <c r="E61" s="868"/>
      <c r="F61" s="868"/>
      <c r="G61" s="868"/>
      <c r="H61" s="868"/>
      <c r="I61" s="868"/>
      <c r="J61" s="868"/>
      <c r="K61" s="868"/>
      <c r="L61" s="868"/>
      <c r="M61" s="868"/>
      <c r="N61" s="868"/>
      <c r="O61" s="868"/>
      <c r="P61" s="868"/>
      <c r="Q61" s="868"/>
      <c r="R61" s="868"/>
      <c r="S61" s="868"/>
      <c r="T61" s="868"/>
      <c r="U61" s="868"/>
    </row>
    <row r="62" spans="1:20" s="383" customFormat="1" ht="29.25" customHeight="1" thickTop="1">
      <c r="A62" s="872"/>
      <c r="B62" s="872"/>
      <c r="C62" s="872"/>
      <c r="D62" s="872"/>
      <c r="E62" s="872"/>
      <c r="F62" s="435"/>
      <c r="G62" s="436"/>
      <c r="H62" s="436"/>
      <c r="I62" s="436"/>
      <c r="J62" s="436"/>
      <c r="K62" s="436"/>
      <c r="L62" s="436"/>
      <c r="M62" s="436"/>
      <c r="N62" s="436"/>
      <c r="O62" s="893" t="str">
        <f>'Thong tin'!B8</f>
        <v>Tuyên Quang, ngày 05  tháng 11  năm 2017</v>
      </c>
      <c r="P62" s="893"/>
      <c r="Q62" s="893"/>
      <c r="R62" s="893"/>
      <c r="S62" s="893"/>
      <c r="T62" s="893"/>
    </row>
    <row r="63" spans="1:20" s="399" customFormat="1" ht="19.5" customHeight="1">
      <c r="A63" s="437"/>
      <c r="B63" s="887" t="s">
        <v>4</v>
      </c>
      <c r="C63" s="887"/>
      <c r="D63" s="887"/>
      <c r="E63" s="887"/>
      <c r="F63" s="438"/>
      <c r="G63" s="438"/>
      <c r="H63" s="438"/>
      <c r="I63" s="438"/>
      <c r="J63" s="438"/>
      <c r="K63" s="438"/>
      <c r="L63" s="438"/>
      <c r="M63" s="438"/>
      <c r="N63" s="438"/>
      <c r="O63" s="890" t="str">
        <f>'Thong tin'!B7</f>
        <v>CỤC TRƯỞNG</v>
      </c>
      <c r="P63" s="890"/>
      <c r="Q63" s="890"/>
      <c r="R63" s="890"/>
      <c r="S63" s="890"/>
      <c r="T63" s="890"/>
    </row>
    <row r="64" spans="1:20" ht="18.75">
      <c r="A64" s="405"/>
      <c r="B64" s="861"/>
      <c r="C64" s="861"/>
      <c r="D64" s="861"/>
      <c r="E64" s="406"/>
      <c r="F64" s="406"/>
      <c r="G64" s="406"/>
      <c r="H64" s="406"/>
      <c r="I64" s="406"/>
      <c r="J64" s="406"/>
      <c r="K64" s="406"/>
      <c r="L64" s="406"/>
      <c r="M64" s="406"/>
      <c r="N64" s="406"/>
      <c r="O64" s="860"/>
      <c r="P64" s="860"/>
      <c r="Q64" s="860"/>
      <c r="R64" s="860"/>
      <c r="S64" s="860"/>
      <c r="T64" s="860"/>
    </row>
    <row r="65" spans="1:20" ht="18.75">
      <c r="A65" s="405"/>
      <c r="B65" s="405"/>
      <c r="C65" s="405"/>
      <c r="D65" s="406"/>
      <c r="E65" s="406"/>
      <c r="F65" s="406"/>
      <c r="G65" s="406"/>
      <c r="H65" s="406"/>
      <c r="I65" s="406"/>
      <c r="J65" s="406"/>
      <c r="K65" s="406"/>
      <c r="L65" s="406"/>
      <c r="M65" s="406"/>
      <c r="N65" s="406"/>
      <c r="O65" s="406"/>
      <c r="P65" s="406"/>
      <c r="Q65" s="406"/>
      <c r="R65" s="406"/>
      <c r="S65" s="405"/>
      <c r="T65" s="405"/>
    </row>
    <row r="66" spans="1:20" ht="15.75">
      <c r="A66" s="404"/>
      <c r="B66" s="878"/>
      <c r="C66" s="878"/>
      <c r="D66" s="878"/>
      <c r="E66" s="413"/>
      <c r="F66" s="413"/>
      <c r="G66" s="413"/>
      <c r="H66" s="413"/>
      <c r="I66" s="413"/>
      <c r="J66" s="413"/>
      <c r="K66" s="413"/>
      <c r="L66" s="413"/>
      <c r="M66" s="413"/>
      <c r="N66" s="413"/>
      <c r="O66" s="413"/>
      <c r="P66" s="413"/>
      <c r="Q66" s="878"/>
      <c r="R66" s="878"/>
      <c r="S66" s="878"/>
      <c r="T66" s="404"/>
    </row>
    <row r="67" spans="1:20" ht="15.75" customHeight="1">
      <c r="A67" s="414"/>
      <c r="B67" s="410"/>
      <c r="C67" s="410"/>
      <c r="D67" s="415"/>
      <c r="E67" s="415"/>
      <c r="F67" s="415"/>
      <c r="G67" s="415"/>
      <c r="H67" s="415"/>
      <c r="I67" s="415"/>
      <c r="J67" s="415"/>
      <c r="K67" s="415"/>
      <c r="L67" s="415"/>
      <c r="M67" s="415"/>
      <c r="N67" s="415"/>
      <c r="O67" s="415"/>
      <c r="P67" s="415"/>
      <c r="Q67" s="415"/>
      <c r="R67" s="415"/>
      <c r="S67" s="410"/>
      <c r="T67" s="410"/>
    </row>
    <row r="68" spans="1:20" ht="15.75" customHeight="1">
      <c r="A68" s="404"/>
      <c r="B68" s="877"/>
      <c r="C68" s="877"/>
      <c r="D68" s="877"/>
      <c r="E68" s="877"/>
      <c r="F68" s="877"/>
      <c r="G68" s="877"/>
      <c r="H68" s="877"/>
      <c r="I68" s="877"/>
      <c r="J68" s="877"/>
      <c r="K68" s="877"/>
      <c r="L68" s="877"/>
      <c r="M68" s="877"/>
      <c r="N68" s="877"/>
      <c r="O68" s="877"/>
      <c r="P68" s="877"/>
      <c r="Q68" s="413"/>
      <c r="R68" s="413"/>
      <c r="S68" s="404"/>
      <c r="T68" s="404"/>
    </row>
    <row r="69" spans="1:20" ht="15.75">
      <c r="A69" s="416"/>
      <c r="B69" s="416"/>
      <c r="C69" s="416"/>
      <c r="D69" s="416"/>
      <c r="E69" s="416"/>
      <c r="F69" s="416"/>
      <c r="G69" s="416"/>
      <c r="H69" s="416"/>
      <c r="I69" s="416"/>
      <c r="J69" s="416"/>
      <c r="K69" s="416"/>
      <c r="L69" s="416"/>
      <c r="M69" s="416"/>
      <c r="N69" s="416"/>
      <c r="O69" s="416"/>
      <c r="P69" s="416"/>
      <c r="Q69" s="416"/>
      <c r="R69" s="404"/>
      <c r="S69" s="404"/>
      <c r="T69" s="404"/>
    </row>
    <row r="70" spans="1:20" ht="18.75">
      <c r="A70" s="404"/>
      <c r="B70" s="876" t="s">
        <v>471</v>
      </c>
      <c r="C70" s="876"/>
      <c r="D70" s="876"/>
      <c r="E70" s="876"/>
      <c r="F70" s="410"/>
      <c r="G70" s="410"/>
      <c r="H70" s="410"/>
      <c r="I70" s="410"/>
      <c r="J70" s="410"/>
      <c r="K70" s="410"/>
      <c r="L70" s="410"/>
      <c r="M70" s="410"/>
      <c r="N70" s="410"/>
      <c r="O70" s="876" t="str">
        <f>'Thong tin'!B6</f>
        <v>Nguyễn Tuyên </v>
      </c>
      <c r="P70" s="876"/>
      <c r="Q70" s="876"/>
      <c r="R70" s="876"/>
      <c r="S70" s="876"/>
      <c r="T70" s="876"/>
    </row>
    <row r="71" spans="2:20" ht="18.75">
      <c r="B71" s="874"/>
      <c r="C71" s="874"/>
      <c r="D71" s="874"/>
      <c r="E71" s="874"/>
      <c r="F71" s="384"/>
      <c r="G71" s="384"/>
      <c r="H71" s="384"/>
      <c r="I71" s="384"/>
      <c r="J71" s="384"/>
      <c r="K71" s="384"/>
      <c r="L71" s="384"/>
      <c r="M71" s="384"/>
      <c r="N71" s="384"/>
      <c r="O71" s="384"/>
      <c r="P71" s="874"/>
      <c r="Q71" s="874"/>
      <c r="R71" s="874"/>
      <c r="S71" s="874"/>
      <c r="T71" s="875"/>
    </row>
  </sheetData>
  <sheetProtection/>
  <mergeCells count="47">
    <mergeCell ref="A2:D2"/>
    <mergeCell ref="Q2:T2"/>
    <mergeCell ref="B63:E63"/>
    <mergeCell ref="A10:B10"/>
    <mergeCell ref="H7:H9"/>
    <mergeCell ref="O63:T63"/>
    <mergeCell ref="T6:T9"/>
    <mergeCell ref="O62:T62"/>
    <mergeCell ref="S6:S9"/>
    <mergeCell ref="C7:C9"/>
    <mergeCell ref="E1:P1"/>
    <mergeCell ref="E2:P2"/>
    <mergeCell ref="E3:P3"/>
    <mergeCell ref="F6:F9"/>
    <mergeCell ref="G6:G9"/>
    <mergeCell ref="H6:R6"/>
    <mergeCell ref="C6:E6"/>
    <mergeCell ref="I7:Q7"/>
    <mergeCell ref="I8:I9"/>
    <mergeCell ref="R7:R9"/>
    <mergeCell ref="A3:D3"/>
    <mergeCell ref="A62:E62"/>
    <mergeCell ref="Q4:T4"/>
    <mergeCell ref="B71:E71"/>
    <mergeCell ref="P71:T71"/>
    <mergeCell ref="B70:E70"/>
    <mergeCell ref="B68:P68"/>
    <mergeCell ref="O70:T70"/>
    <mergeCell ref="Q66:S66"/>
    <mergeCell ref="B66:D66"/>
    <mergeCell ref="O64:T64"/>
    <mergeCell ref="B64:D64"/>
    <mergeCell ref="A6:B9"/>
    <mergeCell ref="Q5:T5"/>
    <mergeCell ref="D7:E7"/>
    <mergeCell ref="D8:D9"/>
    <mergeCell ref="E8:E9"/>
    <mergeCell ref="J8:Q8"/>
    <mergeCell ref="A61:U61"/>
    <mergeCell ref="B23:C23"/>
    <mergeCell ref="AA6:AA9"/>
    <mergeCell ref="U6:U9"/>
    <mergeCell ref="V6:V9"/>
    <mergeCell ref="W6:W9"/>
    <mergeCell ref="X6:X9"/>
    <mergeCell ref="Y6:Y9"/>
    <mergeCell ref="Z6:Z9"/>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Z72"/>
  <sheetViews>
    <sheetView showZeros="0" tabSelected="1" zoomScaleSheetLayoutView="85" zoomScalePageLayoutView="0" workbookViewId="0" topLeftCell="J7">
      <pane ySplit="4" topLeftCell="A53" activePane="bottomLeft" state="frozen"/>
      <selection pane="topLeft" activeCell="A7" sqref="A7"/>
      <selection pane="bottomLeft" activeCell="A61" sqref="A61:S61"/>
    </sheetView>
  </sheetViews>
  <sheetFormatPr defaultColWidth="9.00390625" defaultRowHeight="15.75"/>
  <cols>
    <col min="1" max="1" width="3.50390625" style="23" customWidth="1"/>
    <col min="2" max="2" width="25.2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0" width="8.75390625" style="23" customWidth="1"/>
    <col min="11" max="11" width="6.25390625" style="23" customWidth="1"/>
    <col min="12" max="12" width="5.75390625" style="23" customWidth="1"/>
    <col min="13" max="14" width="5.875" style="23" customWidth="1"/>
    <col min="15" max="15" width="6.125" style="23" customWidth="1"/>
    <col min="16" max="16" width="5.25390625" style="23" customWidth="1"/>
    <col min="17" max="17" width="7.50390625" style="23" customWidth="1"/>
    <col min="18" max="18" width="8.75390625" style="23" customWidth="1"/>
    <col min="19" max="19" width="7.625" style="23" customWidth="1"/>
    <col min="20" max="20" width="9.625" style="23" customWidth="1"/>
    <col min="21" max="16384" width="9.00390625" style="23" customWidth="1"/>
  </cols>
  <sheetData>
    <row r="1" spans="1:19" ht="20.25" customHeight="1">
      <c r="A1" s="387" t="s">
        <v>27</v>
      </c>
      <c r="B1" s="387"/>
      <c r="C1" s="387"/>
      <c r="E1" s="902" t="s">
        <v>62</v>
      </c>
      <c r="F1" s="902"/>
      <c r="G1" s="902"/>
      <c r="H1" s="902"/>
      <c r="I1" s="902"/>
      <c r="J1" s="902"/>
      <c r="K1" s="902"/>
      <c r="L1" s="902"/>
      <c r="M1" s="902"/>
      <c r="N1" s="902"/>
      <c r="O1" s="902"/>
      <c r="P1" s="378" t="s">
        <v>414</v>
      </c>
      <c r="Q1" s="378"/>
      <c r="R1" s="378"/>
      <c r="S1" s="378"/>
    </row>
    <row r="2" spans="1:19" ht="17.25" customHeight="1">
      <c r="A2" s="894" t="s">
        <v>226</v>
      </c>
      <c r="B2" s="894"/>
      <c r="C2" s="894"/>
      <c r="D2" s="894"/>
      <c r="E2" s="903" t="s">
        <v>34</v>
      </c>
      <c r="F2" s="903"/>
      <c r="G2" s="903"/>
      <c r="H2" s="903"/>
      <c r="I2" s="903"/>
      <c r="J2" s="903"/>
      <c r="K2" s="903"/>
      <c r="L2" s="903"/>
      <c r="M2" s="903"/>
      <c r="N2" s="903"/>
      <c r="O2" s="903"/>
      <c r="P2" s="895" t="str">
        <f>'Thong tin'!B4</f>
        <v>Cục THADS tỉnh Tuyên Quang</v>
      </c>
      <c r="Q2" s="895"/>
      <c r="R2" s="895"/>
      <c r="S2" s="895"/>
    </row>
    <row r="3" spans="1:19" ht="19.5" customHeight="1">
      <c r="A3" s="894" t="s">
        <v>227</v>
      </c>
      <c r="B3" s="894"/>
      <c r="C3" s="894"/>
      <c r="D3" s="894"/>
      <c r="E3" s="904" t="str">
        <f>'Thong tin'!B3</f>
        <v>01 tháng / năm 2018</v>
      </c>
      <c r="F3" s="904"/>
      <c r="G3" s="904"/>
      <c r="H3" s="904"/>
      <c r="I3" s="904"/>
      <c r="J3" s="904"/>
      <c r="K3" s="904"/>
      <c r="L3" s="904"/>
      <c r="M3" s="904"/>
      <c r="N3" s="904"/>
      <c r="O3" s="904"/>
      <c r="P3" s="378" t="s">
        <v>415</v>
      </c>
      <c r="Q3" s="387"/>
      <c r="R3" s="378"/>
      <c r="S3" s="378"/>
    </row>
    <row r="4" spans="1:19" ht="14.25" customHeight="1">
      <c r="A4" s="381" t="s">
        <v>105</v>
      </c>
      <c r="B4" s="387"/>
      <c r="C4" s="387"/>
      <c r="D4" s="387"/>
      <c r="E4" s="387"/>
      <c r="F4" s="387"/>
      <c r="G4" s="387"/>
      <c r="H4" s="387"/>
      <c r="I4" s="387"/>
      <c r="J4" s="387"/>
      <c r="K4" s="387"/>
      <c r="L4" s="387"/>
      <c r="M4" s="387"/>
      <c r="N4" s="390"/>
      <c r="O4" s="390"/>
      <c r="P4" s="909" t="s">
        <v>289</v>
      </c>
      <c r="Q4" s="909"/>
      <c r="R4" s="909"/>
      <c r="S4" s="909"/>
    </row>
    <row r="5" spans="2:19" ht="21.75" customHeight="1">
      <c r="B5" s="385"/>
      <c r="C5" s="385"/>
      <c r="Q5" s="391" t="s">
        <v>225</v>
      </c>
      <c r="R5" s="392"/>
      <c r="S5" s="392"/>
    </row>
    <row r="6" spans="1:19" ht="18.75" customHeight="1">
      <c r="A6" s="899" t="s">
        <v>53</v>
      </c>
      <c r="B6" s="899"/>
      <c r="C6" s="901" t="s">
        <v>106</v>
      </c>
      <c r="D6" s="901"/>
      <c r="E6" s="901"/>
      <c r="F6" s="905" t="s">
        <v>97</v>
      </c>
      <c r="G6" s="900" t="s">
        <v>107</v>
      </c>
      <c r="H6" s="908" t="s">
        <v>98</v>
      </c>
      <c r="I6" s="908"/>
      <c r="J6" s="908"/>
      <c r="K6" s="908"/>
      <c r="L6" s="908"/>
      <c r="M6" s="908"/>
      <c r="N6" s="908"/>
      <c r="O6" s="908"/>
      <c r="P6" s="908"/>
      <c r="Q6" s="908"/>
      <c r="R6" s="901" t="s">
        <v>231</v>
      </c>
      <c r="S6" s="901" t="s">
        <v>417</v>
      </c>
    </row>
    <row r="7" spans="1:26" s="378" customFormat="1" ht="18.75" customHeight="1">
      <c r="A7" s="899"/>
      <c r="B7" s="899"/>
      <c r="C7" s="901" t="s">
        <v>42</v>
      </c>
      <c r="D7" s="914" t="s">
        <v>7</v>
      </c>
      <c r="E7" s="914"/>
      <c r="F7" s="906"/>
      <c r="G7" s="900"/>
      <c r="H7" s="900" t="s">
        <v>98</v>
      </c>
      <c r="I7" s="901" t="s">
        <v>99</v>
      </c>
      <c r="J7" s="901"/>
      <c r="K7" s="901"/>
      <c r="L7" s="901"/>
      <c r="M7" s="901"/>
      <c r="N7" s="901"/>
      <c r="O7" s="901"/>
      <c r="P7" s="901"/>
      <c r="Q7" s="900" t="s">
        <v>103</v>
      </c>
      <c r="R7" s="901"/>
      <c r="S7" s="901"/>
      <c r="T7" s="859" t="s">
        <v>480</v>
      </c>
      <c r="U7" s="858" t="s">
        <v>487</v>
      </c>
      <c r="V7" s="858" t="s">
        <v>481</v>
      </c>
      <c r="W7" s="858" t="s">
        <v>482</v>
      </c>
      <c r="X7" s="858" t="s">
        <v>483</v>
      </c>
      <c r="Y7" s="858" t="s">
        <v>484</v>
      </c>
      <c r="Z7" s="858" t="s">
        <v>485</v>
      </c>
    </row>
    <row r="8" spans="1:26" ht="18.75" customHeight="1">
      <c r="A8" s="899"/>
      <c r="B8" s="899"/>
      <c r="C8" s="901"/>
      <c r="D8" s="914" t="s">
        <v>109</v>
      </c>
      <c r="E8" s="914" t="s">
        <v>110</v>
      </c>
      <c r="F8" s="906"/>
      <c r="G8" s="900"/>
      <c r="H8" s="900"/>
      <c r="I8" s="900" t="s">
        <v>416</v>
      </c>
      <c r="J8" s="914" t="s">
        <v>7</v>
      </c>
      <c r="K8" s="914"/>
      <c r="L8" s="914"/>
      <c r="M8" s="914"/>
      <c r="N8" s="914"/>
      <c r="O8" s="914"/>
      <c r="P8" s="914"/>
      <c r="Q8" s="900"/>
      <c r="R8" s="901"/>
      <c r="S8" s="901"/>
      <c r="T8" s="859"/>
      <c r="U8" s="858"/>
      <c r="V8" s="858"/>
      <c r="W8" s="858"/>
      <c r="X8" s="858"/>
      <c r="Y8" s="858"/>
      <c r="Z8" s="858"/>
    </row>
    <row r="9" spans="1:26" ht="134.25" customHeight="1">
      <c r="A9" s="899"/>
      <c r="B9" s="899"/>
      <c r="C9" s="901"/>
      <c r="D9" s="914"/>
      <c r="E9" s="914"/>
      <c r="F9" s="907"/>
      <c r="G9" s="900"/>
      <c r="H9" s="900"/>
      <c r="I9" s="900"/>
      <c r="J9" s="393" t="s">
        <v>111</v>
      </c>
      <c r="K9" s="393" t="s">
        <v>112</v>
      </c>
      <c r="L9" s="394" t="s">
        <v>100</v>
      </c>
      <c r="M9" s="394" t="s">
        <v>113</v>
      </c>
      <c r="N9" s="394" t="s">
        <v>101</v>
      </c>
      <c r="O9" s="394" t="s">
        <v>232</v>
      </c>
      <c r="P9" s="394" t="s">
        <v>102</v>
      </c>
      <c r="Q9" s="900"/>
      <c r="R9" s="901"/>
      <c r="S9" s="901"/>
      <c r="T9" s="859"/>
      <c r="U9" s="858"/>
      <c r="V9" s="858"/>
      <c r="W9" s="858"/>
      <c r="X9" s="858"/>
      <c r="Y9" s="858"/>
      <c r="Z9" s="858"/>
    </row>
    <row r="10" spans="1:26" ht="22.5" customHeight="1">
      <c r="A10" s="915" t="s">
        <v>6</v>
      </c>
      <c r="B10" s="916"/>
      <c r="C10" s="395">
        <v>1</v>
      </c>
      <c r="D10" s="395">
        <v>2</v>
      </c>
      <c r="E10" s="395">
        <v>3</v>
      </c>
      <c r="F10" s="395">
        <v>4</v>
      </c>
      <c r="G10" s="395">
        <v>5</v>
      </c>
      <c r="H10" s="395">
        <v>6</v>
      </c>
      <c r="I10" s="395">
        <v>7</v>
      </c>
      <c r="J10" s="395">
        <v>8</v>
      </c>
      <c r="K10" s="395">
        <v>9</v>
      </c>
      <c r="L10" s="395">
        <v>10</v>
      </c>
      <c r="M10" s="395">
        <v>11</v>
      </c>
      <c r="N10" s="395">
        <v>12</v>
      </c>
      <c r="O10" s="395">
        <v>13</v>
      </c>
      <c r="P10" s="395">
        <v>14</v>
      </c>
      <c r="Q10" s="395">
        <v>15</v>
      </c>
      <c r="R10" s="395">
        <v>16</v>
      </c>
      <c r="S10" s="396">
        <v>17</v>
      </c>
      <c r="T10" s="859"/>
      <c r="U10" s="858"/>
      <c r="V10" s="858"/>
      <c r="W10" s="858"/>
      <c r="X10" s="858"/>
      <c r="Y10" s="858"/>
      <c r="Z10" s="858"/>
    </row>
    <row r="11" spans="1:26" ht="25.5" customHeight="1">
      <c r="A11" s="910" t="s">
        <v>30</v>
      </c>
      <c r="B11" s="911"/>
      <c r="C11" s="505">
        <f aca="true" t="shared" si="0" ref="C11:R11">C12+C24+C32+C39+C47+C51+C55+C58</f>
        <v>2264</v>
      </c>
      <c r="D11" s="505">
        <f t="shared" si="0"/>
        <v>1580</v>
      </c>
      <c r="E11" s="505">
        <f t="shared" si="0"/>
        <v>684</v>
      </c>
      <c r="F11" s="505">
        <f t="shared" si="0"/>
        <v>5</v>
      </c>
      <c r="G11" s="505">
        <f t="shared" si="0"/>
        <v>0</v>
      </c>
      <c r="H11" s="505">
        <f t="shared" si="0"/>
        <v>2259</v>
      </c>
      <c r="I11" s="505">
        <f t="shared" si="0"/>
        <v>997</v>
      </c>
      <c r="J11" s="505">
        <f t="shared" si="0"/>
        <v>418</v>
      </c>
      <c r="K11" s="505">
        <f t="shared" si="0"/>
        <v>11</v>
      </c>
      <c r="L11" s="505">
        <f t="shared" si="0"/>
        <v>481</v>
      </c>
      <c r="M11" s="505">
        <f t="shared" si="0"/>
        <v>38</v>
      </c>
      <c r="N11" s="505">
        <f t="shared" si="0"/>
        <v>0</v>
      </c>
      <c r="O11" s="505">
        <f t="shared" si="0"/>
        <v>0</v>
      </c>
      <c r="P11" s="505">
        <f t="shared" si="0"/>
        <v>49</v>
      </c>
      <c r="Q11" s="505">
        <f t="shared" si="0"/>
        <v>1262</v>
      </c>
      <c r="R11" s="505">
        <f t="shared" si="0"/>
        <v>1830</v>
      </c>
      <c r="S11" s="506">
        <f>SUM(J11:K11)/SUM(I11)*100%</f>
        <v>0.43029087261785354</v>
      </c>
      <c r="T11" s="550">
        <f>I11/H11</f>
        <v>0.44134572819831785</v>
      </c>
      <c r="U11" s="551">
        <f>(R11-Q11-289)/289</f>
        <v>0.9653979238754326</v>
      </c>
      <c r="V11" s="552">
        <f>(C11-2141)/2141</f>
        <v>0.05744978981784213</v>
      </c>
      <c r="W11" s="552">
        <f>(E11-709)/709</f>
        <v>-0.03526093088857546</v>
      </c>
      <c r="X11" s="552">
        <f>(H11-2139)/2139</f>
        <v>0.056100981767180924</v>
      </c>
      <c r="Y11" s="552">
        <f>(I11-1097)/1097</f>
        <v>-0.09115770282588878</v>
      </c>
      <c r="Z11" s="552">
        <f>(J11+K11-454)/454</f>
        <v>-0.05506607929515418</v>
      </c>
    </row>
    <row r="12" spans="1:26" ht="15">
      <c r="A12" s="397" t="s">
        <v>0</v>
      </c>
      <c r="B12" s="504" t="s">
        <v>76</v>
      </c>
      <c r="C12" s="495">
        <f>D12+E12</f>
        <v>185</v>
      </c>
      <c r="D12" s="495">
        <f aca="true" t="shared" si="1" ref="D12:Q12">SUM(D13:D22)</f>
        <v>167</v>
      </c>
      <c r="E12" s="495">
        <f t="shared" si="1"/>
        <v>18</v>
      </c>
      <c r="F12" s="495">
        <f t="shared" si="1"/>
        <v>0</v>
      </c>
      <c r="G12" s="495">
        <f t="shared" si="1"/>
        <v>0</v>
      </c>
      <c r="H12" s="495">
        <f t="shared" si="1"/>
        <v>185</v>
      </c>
      <c r="I12" s="495">
        <f>SUM(I13:I22)</f>
        <v>22</v>
      </c>
      <c r="J12" s="495">
        <f t="shared" si="1"/>
        <v>11</v>
      </c>
      <c r="K12" s="495">
        <f t="shared" si="1"/>
        <v>0</v>
      </c>
      <c r="L12" s="495">
        <f t="shared" si="1"/>
        <v>11</v>
      </c>
      <c r="M12" s="495">
        <f t="shared" si="1"/>
        <v>0</v>
      </c>
      <c r="N12" s="495">
        <f t="shared" si="1"/>
        <v>0</v>
      </c>
      <c r="O12" s="495">
        <f t="shared" si="1"/>
        <v>0</v>
      </c>
      <c r="P12" s="495">
        <f t="shared" si="1"/>
        <v>0</v>
      </c>
      <c r="Q12" s="495">
        <f t="shared" si="1"/>
        <v>163</v>
      </c>
      <c r="R12" s="495">
        <f>R13+R14+R15+R16+R17+R18+R19+R20+R21+R22</f>
        <v>174</v>
      </c>
      <c r="S12" s="497">
        <f aca="true" t="shared" si="2" ref="S12:S57">SUM(J12:K12)/SUM(I12)*100%</f>
        <v>0.5</v>
      </c>
      <c r="T12" s="553">
        <f>I12/H12</f>
        <v>0.11891891891891893</v>
      </c>
      <c r="U12" s="554">
        <f>(R12-Q12-3)/3</f>
        <v>2.6666666666666665</v>
      </c>
      <c r="V12" s="552">
        <f>(C12-174)/174</f>
        <v>0.06321839080459771</v>
      </c>
      <c r="W12" s="552">
        <f>(E12-102)/102</f>
        <v>-0.8235294117647058</v>
      </c>
      <c r="X12" s="552">
        <f>(H12-174)/174</f>
        <v>0.06321839080459771</v>
      </c>
      <c r="Y12" s="552">
        <f>(I12-121)/121</f>
        <v>-0.8181818181818182</v>
      </c>
      <c r="Z12" s="552">
        <f>(J12+K12-19)/19</f>
        <v>-0.42105263157894735</v>
      </c>
    </row>
    <row r="13" spans="1:19" ht="18.75" customHeight="1">
      <c r="A13" s="420" t="s">
        <v>43</v>
      </c>
      <c r="B13" s="521" t="s">
        <v>423</v>
      </c>
      <c r="C13" s="418">
        <f>D13+E13</f>
        <v>20</v>
      </c>
      <c r="D13" s="479">
        <v>19</v>
      </c>
      <c r="E13" s="488">
        <v>1</v>
      </c>
      <c r="F13" s="481"/>
      <c r="G13" s="481">
        <v>0</v>
      </c>
      <c r="H13" s="418">
        <f>I13+Q13</f>
        <v>20</v>
      </c>
      <c r="I13" s="418">
        <f>SUM(J13:P13)</f>
        <v>1</v>
      </c>
      <c r="J13" s="488">
        <v>0</v>
      </c>
      <c r="K13" s="488"/>
      <c r="L13" s="488">
        <v>1</v>
      </c>
      <c r="M13" s="475"/>
      <c r="N13" s="489"/>
      <c r="O13" s="489"/>
      <c r="P13" s="489"/>
      <c r="Q13" s="490">
        <v>19</v>
      </c>
      <c r="R13" s="418">
        <f>(C13-F13-J13-K13)+G13</f>
        <v>20</v>
      </c>
      <c r="S13" s="493">
        <f t="shared" si="2"/>
        <v>0</v>
      </c>
    </row>
    <row r="14" spans="1:19" ht="18.75" customHeight="1">
      <c r="A14" s="420" t="s">
        <v>44</v>
      </c>
      <c r="B14" s="521" t="s">
        <v>424</v>
      </c>
      <c r="C14" s="418">
        <f aca="true" t="shared" si="3" ref="C14:C22">D14+E14</f>
        <v>22</v>
      </c>
      <c r="D14" s="479">
        <v>14</v>
      </c>
      <c r="E14" s="488">
        <v>8</v>
      </c>
      <c r="F14" s="481"/>
      <c r="G14" s="481">
        <v>0</v>
      </c>
      <c r="H14" s="418">
        <f aca="true" t="shared" si="4" ref="H14:H22">I14+Q14</f>
        <v>22</v>
      </c>
      <c r="I14" s="418">
        <f aca="true" t="shared" si="5" ref="I14:I22">SUM(J14:P14)</f>
        <v>10</v>
      </c>
      <c r="J14" s="488">
        <v>3</v>
      </c>
      <c r="K14" s="488">
        <v>0</v>
      </c>
      <c r="L14" s="488">
        <v>7</v>
      </c>
      <c r="M14" s="475"/>
      <c r="N14" s="489"/>
      <c r="O14" s="489"/>
      <c r="P14" s="489"/>
      <c r="Q14" s="490">
        <v>12</v>
      </c>
      <c r="R14" s="418">
        <f aca="true" t="shared" si="6" ref="R14:R48">(C14-F14-J14-K14)+G14</f>
        <v>19</v>
      </c>
      <c r="S14" s="493">
        <f t="shared" si="2"/>
        <v>0.3</v>
      </c>
    </row>
    <row r="15" spans="1:19" ht="18.75" customHeight="1">
      <c r="A15" s="420" t="s">
        <v>45</v>
      </c>
      <c r="B15" s="521" t="s">
        <v>476</v>
      </c>
      <c r="C15" s="418">
        <f t="shared" si="3"/>
        <v>111</v>
      </c>
      <c r="D15" s="479">
        <v>104</v>
      </c>
      <c r="E15" s="480">
        <v>7</v>
      </c>
      <c r="F15" s="481"/>
      <c r="G15" s="481"/>
      <c r="H15" s="418">
        <f t="shared" si="4"/>
        <v>111</v>
      </c>
      <c r="I15" s="418">
        <f t="shared" si="5"/>
        <v>8</v>
      </c>
      <c r="J15" s="480">
        <v>6</v>
      </c>
      <c r="K15" s="480"/>
      <c r="L15" s="480">
        <v>2</v>
      </c>
      <c r="M15" s="481"/>
      <c r="N15" s="482"/>
      <c r="O15" s="482"/>
      <c r="P15" s="482"/>
      <c r="Q15" s="490">
        <v>103</v>
      </c>
      <c r="R15" s="418">
        <f>C15-F15-J15-K15</f>
        <v>105</v>
      </c>
      <c r="S15" s="493">
        <f t="shared" si="2"/>
        <v>0.75</v>
      </c>
    </row>
    <row r="16" spans="1:19" ht="18.75" customHeight="1">
      <c r="A16" s="420" t="s">
        <v>54</v>
      </c>
      <c r="B16" s="522" t="s">
        <v>425</v>
      </c>
      <c r="C16" s="418">
        <f t="shared" si="3"/>
        <v>0</v>
      </c>
      <c r="D16" s="479">
        <v>0</v>
      </c>
      <c r="E16" s="488"/>
      <c r="F16" s="481"/>
      <c r="G16" s="481">
        <v>0</v>
      </c>
      <c r="H16" s="418">
        <f t="shared" si="4"/>
        <v>0</v>
      </c>
      <c r="I16" s="418">
        <f t="shared" si="5"/>
        <v>0</v>
      </c>
      <c r="J16" s="488"/>
      <c r="K16" s="488"/>
      <c r="L16" s="488">
        <v>0</v>
      </c>
      <c r="M16" s="475"/>
      <c r="N16" s="489"/>
      <c r="O16" s="489"/>
      <c r="P16" s="489"/>
      <c r="Q16" s="490">
        <v>0</v>
      </c>
      <c r="R16" s="418">
        <f t="shared" si="6"/>
        <v>0</v>
      </c>
      <c r="S16" s="493" t="e">
        <f t="shared" si="2"/>
        <v>#DIV/0!</v>
      </c>
    </row>
    <row r="17" spans="1:19" ht="18.75" customHeight="1">
      <c r="A17" s="420" t="s">
        <v>55</v>
      </c>
      <c r="B17" s="522" t="s">
        <v>426</v>
      </c>
      <c r="C17" s="418">
        <f t="shared" si="3"/>
        <v>3</v>
      </c>
      <c r="D17" s="479">
        <v>3</v>
      </c>
      <c r="E17" s="488">
        <v>0</v>
      </c>
      <c r="F17" s="481"/>
      <c r="G17" s="481"/>
      <c r="H17" s="418">
        <f t="shared" si="4"/>
        <v>3</v>
      </c>
      <c r="I17" s="418">
        <f t="shared" si="5"/>
        <v>0</v>
      </c>
      <c r="J17" s="488">
        <v>0</v>
      </c>
      <c r="K17" s="488"/>
      <c r="L17" s="488">
        <v>0</v>
      </c>
      <c r="M17" s="475"/>
      <c r="N17" s="489"/>
      <c r="O17" s="489"/>
      <c r="P17" s="489"/>
      <c r="Q17" s="490">
        <v>3</v>
      </c>
      <c r="R17" s="418">
        <f t="shared" si="6"/>
        <v>3</v>
      </c>
      <c r="S17" s="493" t="e">
        <f t="shared" si="2"/>
        <v>#DIV/0!</v>
      </c>
    </row>
    <row r="18" spans="1:19" ht="18.75" customHeight="1">
      <c r="A18" s="420" t="s">
        <v>56</v>
      </c>
      <c r="B18" s="459" t="s">
        <v>427</v>
      </c>
      <c r="C18" s="418">
        <f t="shared" si="3"/>
        <v>19</v>
      </c>
      <c r="D18" s="479">
        <v>17</v>
      </c>
      <c r="E18" s="488">
        <v>2</v>
      </c>
      <c r="F18" s="481"/>
      <c r="G18" s="481">
        <v>0</v>
      </c>
      <c r="H18" s="418">
        <f t="shared" si="4"/>
        <v>19</v>
      </c>
      <c r="I18" s="418">
        <f t="shared" si="5"/>
        <v>2</v>
      </c>
      <c r="J18" s="488">
        <v>2</v>
      </c>
      <c r="K18" s="488">
        <v>0</v>
      </c>
      <c r="L18" s="488">
        <v>0</v>
      </c>
      <c r="M18" s="475"/>
      <c r="N18" s="489"/>
      <c r="O18" s="489"/>
      <c r="P18" s="489"/>
      <c r="Q18" s="490">
        <v>17</v>
      </c>
      <c r="R18" s="418">
        <f t="shared" si="6"/>
        <v>17</v>
      </c>
      <c r="S18" s="493">
        <f t="shared" si="2"/>
        <v>1</v>
      </c>
    </row>
    <row r="19" spans="1:19" ht="18.75" customHeight="1">
      <c r="A19" s="420" t="s">
        <v>57</v>
      </c>
      <c r="B19" s="522" t="s">
        <v>428</v>
      </c>
      <c r="C19" s="418">
        <f t="shared" si="3"/>
        <v>0</v>
      </c>
      <c r="D19" s="479">
        <v>0</v>
      </c>
      <c r="E19" s="488"/>
      <c r="F19" s="481"/>
      <c r="G19" s="481">
        <v>0</v>
      </c>
      <c r="H19" s="418">
        <f t="shared" si="4"/>
        <v>0</v>
      </c>
      <c r="I19" s="418">
        <f t="shared" si="5"/>
        <v>0</v>
      </c>
      <c r="J19" s="488"/>
      <c r="K19" s="488"/>
      <c r="L19" s="488">
        <v>0</v>
      </c>
      <c r="M19" s="475"/>
      <c r="N19" s="489"/>
      <c r="O19" s="489"/>
      <c r="P19" s="489"/>
      <c r="Q19" s="490">
        <v>0</v>
      </c>
      <c r="R19" s="418">
        <f>(C19-F19-J19-K19)+G19</f>
        <v>0</v>
      </c>
      <c r="S19" s="493" t="e">
        <f t="shared" si="2"/>
        <v>#DIV/0!</v>
      </c>
    </row>
    <row r="20" spans="1:19" ht="18.75" customHeight="1">
      <c r="A20" s="420" t="s">
        <v>58</v>
      </c>
      <c r="B20" s="522" t="s">
        <v>477</v>
      </c>
      <c r="C20" s="418">
        <f t="shared" si="3"/>
        <v>4</v>
      </c>
      <c r="D20" s="479">
        <v>4</v>
      </c>
      <c r="E20" s="488">
        <v>0</v>
      </c>
      <c r="F20" s="481"/>
      <c r="G20" s="481"/>
      <c r="H20" s="418">
        <f t="shared" si="4"/>
        <v>4</v>
      </c>
      <c r="I20" s="418">
        <f t="shared" si="5"/>
        <v>0</v>
      </c>
      <c r="J20" s="488">
        <v>0</v>
      </c>
      <c r="K20" s="488">
        <v>0</v>
      </c>
      <c r="L20" s="488">
        <v>0</v>
      </c>
      <c r="M20" s="475">
        <v>0</v>
      </c>
      <c r="N20" s="489">
        <v>0</v>
      </c>
      <c r="O20" s="489">
        <v>0</v>
      </c>
      <c r="P20" s="489">
        <v>0</v>
      </c>
      <c r="Q20" s="490">
        <v>4</v>
      </c>
      <c r="R20" s="418">
        <f>(C20-F20-J20-K20)+G20</f>
        <v>4</v>
      </c>
      <c r="S20" s="493" t="e">
        <f t="shared" si="2"/>
        <v>#DIV/0!</v>
      </c>
    </row>
    <row r="21" spans="1:19" ht="18.75" customHeight="1">
      <c r="A21" s="420" t="s">
        <v>59</v>
      </c>
      <c r="B21" s="522" t="s">
        <v>429</v>
      </c>
      <c r="C21" s="418">
        <f t="shared" si="3"/>
        <v>5</v>
      </c>
      <c r="D21" s="479">
        <v>5</v>
      </c>
      <c r="E21" s="488">
        <v>0</v>
      </c>
      <c r="F21" s="481"/>
      <c r="G21" s="481">
        <v>0</v>
      </c>
      <c r="H21" s="418">
        <f t="shared" si="4"/>
        <v>5</v>
      </c>
      <c r="I21" s="418">
        <f t="shared" si="5"/>
        <v>1</v>
      </c>
      <c r="J21" s="488">
        <v>0</v>
      </c>
      <c r="K21" s="488"/>
      <c r="L21" s="488">
        <v>1</v>
      </c>
      <c r="M21" s="475"/>
      <c r="N21" s="489"/>
      <c r="O21" s="489"/>
      <c r="P21" s="489"/>
      <c r="Q21" s="490">
        <v>4</v>
      </c>
      <c r="R21" s="418">
        <f>(C21-F21-J21-K21)+G21</f>
        <v>5</v>
      </c>
      <c r="S21" s="493">
        <f t="shared" si="2"/>
        <v>0</v>
      </c>
    </row>
    <row r="22" spans="1:19" ht="18.75" customHeight="1">
      <c r="A22" s="420" t="s">
        <v>79</v>
      </c>
      <c r="B22" s="523" t="s">
        <v>430</v>
      </c>
      <c r="C22" s="418">
        <f t="shared" si="3"/>
        <v>1</v>
      </c>
      <c r="D22" s="479">
        <v>1</v>
      </c>
      <c r="E22" s="488">
        <v>0</v>
      </c>
      <c r="F22" s="481"/>
      <c r="G22" s="481">
        <v>0</v>
      </c>
      <c r="H22" s="418">
        <f t="shared" si="4"/>
        <v>1</v>
      </c>
      <c r="I22" s="418">
        <f t="shared" si="5"/>
        <v>0</v>
      </c>
      <c r="J22" s="488">
        <v>0</v>
      </c>
      <c r="K22" s="488">
        <v>0</v>
      </c>
      <c r="L22" s="488">
        <v>0</v>
      </c>
      <c r="M22" s="475">
        <v>0</v>
      </c>
      <c r="N22" s="489">
        <v>0</v>
      </c>
      <c r="O22" s="489">
        <v>0</v>
      </c>
      <c r="P22" s="489">
        <v>0</v>
      </c>
      <c r="Q22" s="490">
        <v>1</v>
      </c>
      <c r="R22" s="418">
        <f>(C22-F22-J22-K22)+G22</f>
        <v>1</v>
      </c>
      <c r="S22" s="493" t="e">
        <f t="shared" si="2"/>
        <v>#DIV/0!</v>
      </c>
    </row>
    <row r="23" spans="1:19" ht="18.75" customHeight="1">
      <c r="A23" s="397" t="s">
        <v>1</v>
      </c>
      <c r="B23" s="398" t="s">
        <v>17</v>
      </c>
      <c r="C23" s="460"/>
      <c r="D23" s="460"/>
      <c r="E23" s="460"/>
      <c r="F23" s="460"/>
      <c r="G23" s="460"/>
      <c r="H23" s="460"/>
      <c r="I23" s="460"/>
      <c r="J23" s="460"/>
      <c r="K23" s="460"/>
      <c r="L23" s="460"/>
      <c r="M23" s="460"/>
      <c r="N23" s="460"/>
      <c r="O23" s="460"/>
      <c r="P23" s="460"/>
      <c r="Q23" s="460"/>
      <c r="R23" s="418"/>
      <c r="S23" s="493"/>
    </row>
    <row r="24" spans="1:21" ht="27.75" customHeight="1">
      <c r="A24" s="397" t="s">
        <v>43</v>
      </c>
      <c r="B24" s="503" t="s">
        <v>431</v>
      </c>
      <c r="C24" s="495">
        <f>D24+E24</f>
        <v>527</v>
      </c>
      <c r="D24" s="495">
        <f>SUM(D25:D31)</f>
        <v>353</v>
      </c>
      <c r="E24" s="495">
        <f>SUM(E25:E31)</f>
        <v>174</v>
      </c>
      <c r="F24" s="495">
        <f>SUM(F25:F31)</f>
        <v>4</v>
      </c>
      <c r="G24" s="495">
        <f>SUM(G25:G31)</f>
        <v>0</v>
      </c>
      <c r="H24" s="495">
        <f>I24+Q24</f>
        <v>523</v>
      </c>
      <c r="I24" s="495">
        <f>SUM(J24:P24)</f>
        <v>256</v>
      </c>
      <c r="J24" s="495">
        <f aca="true" t="shared" si="7" ref="J24:R24">SUM(J25:J31)</f>
        <v>107</v>
      </c>
      <c r="K24" s="495">
        <f t="shared" si="7"/>
        <v>0</v>
      </c>
      <c r="L24" s="495">
        <f t="shared" si="7"/>
        <v>122</v>
      </c>
      <c r="M24" s="495">
        <f t="shared" si="7"/>
        <v>27</v>
      </c>
      <c r="N24" s="495">
        <f t="shared" si="7"/>
        <v>0</v>
      </c>
      <c r="O24" s="495">
        <f t="shared" si="7"/>
        <v>0</v>
      </c>
      <c r="P24" s="495">
        <f t="shared" si="7"/>
        <v>0</v>
      </c>
      <c r="Q24" s="495">
        <f t="shared" si="7"/>
        <v>267</v>
      </c>
      <c r="R24" s="495">
        <f t="shared" si="7"/>
        <v>416</v>
      </c>
      <c r="S24" s="497">
        <f t="shared" si="2"/>
        <v>0.41796875</v>
      </c>
      <c r="T24" s="918">
        <f>I24/H24</f>
        <v>0.4894837476099426</v>
      </c>
      <c r="U24" s="919">
        <f>(R24-Q24-86)/86</f>
        <v>0.7325581395348837</v>
      </c>
    </row>
    <row r="25" spans="1:19" ht="18.75" customHeight="1">
      <c r="A25" s="420" t="s">
        <v>43</v>
      </c>
      <c r="B25" s="446" t="s">
        <v>432</v>
      </c>
      <c r="C25" s="418">
        <f>D25+E25</f>
        <v>4</v>
      </c>
      <c r="D25" s="419">
        <v>4</v>
      </c>
      <c r="E25" s="419">
        <v>0</v>
      </c>
      <c r="F25" s="419">
        <v>0</v>
      </c>
      <c r="G25" s="483">
        <v>0</v>
      </c>
      <c r="H25" s="418">
        <f>I25+Q25</f>
        <v>4</v>
      </c>
      <c r="I25" s="418">
        <f aca="true" t="shared" si="8" ref="I25:I60">SUM(J25:P25)</f>
        <v>4</v>
      </c>
      <c r="J25" s="419">
        <v>0</v>
      </c>
      <c r="K25" s="419">
        <v>0</v>
      </c>
      <c r="L25" s="419">
        <v>1</v>
      </c>
      <c r="M25" s="419">
        <v>3</v>
      </c>
      <c r="N25" s="419">
        <v>0</v>
      </c>
      <c r="O25" s="419">
        <v>0</v>
      </c>
      <c r="P25" s="419">
        <v>0</v>
      </c>
      <c r="Q25" s="419">
        <v>0</v>
      </c>
      <c r="R25" s="418">
        <f t="shared" si="6"/>
        <v>4</v>
      </c>
      <c r="S25" s="493">
        <f t="shared" si="2"/>
        <v>0</v>
      </c>
    </row>
    <row r="26" spans="1:19" ht="18.75" customHeight="1">
      <c r="A26" s="420" t="s">
        <v>44</v>
      </c>
      <c r="B26" s="447" t="s">
        <v>433</v>
      </c>
      <c r="C26" s="418">
        <f aca="true" t="shared" si="9" ref="C26:C48">D26+E26</f>
        <v>48</v>
      </c>
      <c r="D26" s="419">
        <v>33</v>
      </c>
      <c r="E26" s="419">
        <v>15</v>
      </c>
      <c r="F26" s="419">
        <v>0</v>
      </c>
      <c r="G26" s="483">
        <v>0</v>
      </c>
      <c r="H26" s="418">
        <f aca="true" t="shared" si="10" ref="H26:H60">I26+Q26</f>
        <v>48</v>
      </c>
      <c r="I26" s="418">
        <f t="shared" si="8"/>
        <v>24</v>
      </c>
      <c r="J26" s="419">
        <v>13</v>
      </c>
      <c r="K26" s="419">
        <v>0</v>
      </c>
      <c r="L26" s="419">
        <v>11</v>
      </c>
      <c r="M26" s="419">
        <v>0</v>
      </c>
      <c r="N26" s="419">
        <v>0</v>
      </c>
      <c r="O26" s="419"/>
      <c r="P26" s="419">
        <v>0</v>
      </c>
      <c r="Q26" s="419">
        <v>24</v>
      </c>
      <c r="R26" s="418">
        <f t="shared" si="6"/>
        <v>35</v>
      </c>
      <c r="S26" s="493">
        <f t="shared" si="2"/>
        <v>0.5416666666666666</v>
      </c>
    </row>
    <row r="27" spans="1:19" ht="18.75" customHeight="1">
      <c r="A27" s="420" t="s">
        <v>45</v>
      </c>
      <c r="B27" s="446" t="s">
        <v>434</v>
      </c>
      <c r="C27" s="418">
        <f t="shared" si="9"/>
        <v>68</v>
      </c>
      <c r="D27" s="419">
        <v>45</v>
      </c>
      <c r="E27" s="419">
        <v>23</v>
      </c>
      <c r="F27" s="419">
        <v>0</v>
      </c>
      <c r="G27" s="483">
        <v>0</v>
      </c>
      <c r="H27" s="418">
        <f t="shared" si="10"/>
        <v>68</v>
      </c>
      <c r="I27" s="418">
        <f t="shared" si="8"/>
        <v>30</v>
      </c>
      <c r="J27" s="419">
        <v>15</v>
      </c>
      <c r="K27" s="419">
        <v>0</v>
      </c>
      <c r="L27" s="419">
        <v>13</v>
      </c>
      <c r="M27" s="419">
        <v>2</v>
      </c>
      <c r="N27" s="419"/>
      <c r="O27" s="419"/>
      <c r="P27" s="419">
        <v>0</v>
      </c>
      <c r="Q27" s="419">
        <v>38</v>
      </c>
      <c r="R27" s="418">
        <f>(C27-F27-J27-K27)+G27</f>
        <v>53</v>
      </c>
      <c r="S27" s="493">
        <f t="shared" si="2"/>
        <v>0.5</v>
      </c>
    </row>
    <row r="28" spans="1:19" ht="18.75" customHeight="1">
      <c r="A28" s="420" t="s">
        <v>54</v>
      </c>
      <c r="B28" s="447" t="s">
        <v>474</v>
      </c>
      <c r="C28" s="418">
        <f t="shared" si="9"/>
        <v>126</v>
      </c>
      <c r="D28" s="419">
        <v>96</v>
      </c>
      <c r="E28" s="419">
        <v>30</v>
      </c>
      <c r="F28" s="419">
        <v>2</v>
      </c>
      <c r="G28" s="483">
        <v>0</v>
      </c>
      <c r="H28" s="418">
        <f t="shared" si="10"/>
        <v>124</v>
      </c>
      <c r="I28" s="418">
        <f t="shared" si="8"/>
        <v>56</v>
      </c>
      <c r="J28" s="419">
        <v>20</v>
      </c>
      <c r="K28" s="419">
        <v>0</v>
      </c>
      <c r="L28" s="419">
        <v>26</v>
      </c>
      <c r="M28" s="419">
        <v>10</v>
      </c>
      <c r="N28" s="419"/>
      <c r="O28" s="419"/>
      <c r="P28" s="419">
        <v>0</v>
      </c>
      <c r="Q28" s="419">
        <v>68</v>
      </c>
      <c r="R28" s="418">
        <f t="shared" si="6"/>
        <v>104</v>
      </c>
      <c r="S28" s="493">
        <f t="shared" si="2"/>
        <v>0.35714285714285715</v>
      </c>
    </row>
    <row r="29" spans="1:19" ht="18.75" customHeight="1">
      <c r="A29" s="420" t="s">
        <v>55</v>
      </c>
      <c r="B29" s="447" t="s">
        <v>473</v>
      </c>
      <c r="C29" s="418">
        <f t="shared" si="9"/>
        <v>104</v>
      </c>
      <c r="D29" s="419">
        <v>78</v>
      </c>
      <c r="E29" s="419">
        <v>26</v>
      </c>
      <c r="F29" s="419">
        <v>0</v>
      </c>
      <c r="G29" s="483">
        <v>0</v>
      </c>
      <c r="H29" s="418">
        <f t="shared" si="10"/>
        <v>104</v>
      </c>
      <c r="I29" s="418">
        <f t="shared" si="8"/>
        <v>49</v>
      </c>
      <c r="J29" s="419">
        <v>10</v>
      </c>
      <c r="K29" s="419">
        <v>0</v>
      </c>
      <c r="L29" s="419">
        <v>27</v>
      </c>
      <c r="M29" s="419">
        <v>12</v>
      </c>
      <c r="N29" s="419"/>
      <c r="O29" s="419"/>
      <c r="P29" s="419">
        <v>0</v>
      </c>
      <c r="Q29" s="419">
        <v>55</v>
      </c>
      <c r="R29" s="418">
        <f t="shared" si="6"/>
        <v>94</v>
      </c>
      <c r="S29" s="493">
        <f t="shared" si="2"/>
        <v>0.20408163265306123</v>
      </c>
    </row>
    <row r="30" spans="1:19" ht="18.75" customHeight="1">
      <c r="A30" s="420" t="s">
        <v>56</v>
      </c>
      <c r="B30" s="446" t="s">
        <v>472</v>
      </c>
      <c r="C30" s="418">
        <f t="shared" si="9"/>
        <v>68</v>
      </c>
      <c r="D30" s="419">
        <v>37</v>
      </c>
      <c r="E30" s="419">
        <v>31</v>
      </c>
      <c r="F30" s="419">
        <v>2</v>
      </c>
      <c r="G30" s="483">
        <v>0</v>
      </c>
      <c r="H30" s="418">
        <f t="shared" si="10"/>
        <v>66</v>
      </c>
      <c r="I30" s="418">
        <f t="shared" si="8"/>
        <v>34</v>
      </c>
      <c r="J30" s="419">
        <v>19</v>
      </c>
      <c r="K30" s="419">
        <v>0</v>
      </c>
      <c r="L30" s="419">
        <v>15</v>
      </c>
      <c r="M30" s="419">
        <v>0</v>
      </c>
      <c r="N30" s="419">
        <v>0</v>
      </c>
      <c r="O30" s="419">
        <v>0</v>
      </c>
      <c r="P30" s="419"/>
      <c r="Q30" s="419">
        <v>32</v>
      </c>
      <c r="R30" s="418">
        <f t="shared" si="6"/>
        <v>47</v>
      </c>
      <c r="S30" s="493">
        <f t="shared" si="2"/>
        <v>0.5588235294117647</v>
      </c>
    </row>
    <row r="31" spans="1:19" ht="18.75" customHeight="1">
      <c r="A31" s="420" t="s">
        <v>57</v>
      </c>
      <c r="B31" s="446" t="s">
        <v>437</v>
      </c>
      <c r="C31" s="418">
        <f t="shared" si="9"/>
        <v>109</v>
      </c>
      <c r="D31" s="419">
        <v>60</v>
      </c>
      <c r="E31" s="419">
        <v>49</v>
      </c>
      <c r="F31" s="419">
        <v>0</v>
      </c>
      <c r="G31" s="483">
        <v>0</v>
      </c>
      <c r="H31" s="418">
        <f t="shared" si="10"/>
        <v>109</v>
      </c>
      <c r="I31" s="418">
        <f t="shared" si="8"/>
        <v>59</v>
      </c>
      <c r="J31" s="419">
        <v>30</v>
      </c>
      <c r="K31" s="419">
        <v>0</v>
      </c>
      <c r="L31" s="419">
        <v>29</v>
      </c>
      <c r="M31" s="419">
        <v>0</v>
      </c>
      <c r="N31" s="419">
        <v>0</v>
      </c>
      <c r="O31" s="419">
        <v>0</v>
      </c>
      <c r="P31" s="419"/>
      <c r="Q31" s="419">
        <v>50</v>
      </c>
      <c r="R31" s="418">
        <f>(C31-F31-J31-K31)+G31</f>
        <v>79</v>
      </c>
      <c r="S31" s="493">
        <f t="shared" si="2"/>
        <v>0.5084745762711864</v>
      </c>
    </row>
    <row r="32" spans="1:21" ht="18.75" customHeight="1">
      <c r="A32" s="397" t="s">
        <v>44</v>
      </c>
      <c r="B32" s="494" t="s">
        <v>438</v>
      </c>
      <c r="C32" s="496">
        <f>D32+E32</f>
        <v>337</v>
      </c>
      <c r="D32" s="496">
        <f>SUM(D33:D38)</f>
        <v>230</v>
      </c>
      <c r="E32" s="496">
        <f>SUM(E33:E38)</f>
        <v>107</v>
      </c>
      <c r="F32" s="496">
        <f>SUM(F33:F38)</f>
        <v>1</v>
      </c>
      <c r="G32" s="496">
        <f>SUM(G33:G38)</f>
        <v>0</v>
      </c>
      <c r="H32" s="496">
        <f>I32+Q32</f>
        <v>336</v>
      </c>
      <c r="I32" s="496">
        <f>SUM(J32:P32)</f>
        <v>142</v>
      </c>
      <c r="J32" s="496">
        <f>SUM(J33:J38)</f>
        <v>78</v>
      </c>
      <c r="K32" s="496">
        <f aca="true" t="shared" si="11" ref="K32:R32">SUM(K33:K38)</f>
        <v>8</v>
      </c>
      <c r="L32" s="496">
        <f t="shared" si="11"/>
        <v>54</v>
      </c>
      <c r="M32" s="496">
        <f>SUM(M33:M38)</f>
        <v>0</v>
      </c>
      <c r="N32" s="496">
        <f t="shared" si="11"/>
        <v>0</v>
      </c>
      <c r="O32" s="496">
        <f t="shared" si="11"/>
        <v>0</v>
      </c>
      <c r="P32" s="496">
        <f t="shared" si="11"/>
        <v>2</v>
      </c>
      <c r="Q32" s="496">
        <f t="shared" si="11"/>
        <v>194</v>
      </c>
      <c r="R32" s="496">
        <f t="shared" si="11"/>
        <v>250</v>
      </c>
      <c r="S32" s="497">
        <f t="shared" si="2"/>
        <v>0.6056338028169014</v>
      </c>
      <c r="T32" s="918">
        <f>I32/H32</f>
        <v>0.4226190476190476</v>
      </c>
      <c r="U32" s="919">
        <f>(R32-Q32-30)/30</f>
        <v>0.8666666666666667</v>
      </c>
    </row>
    <row r="33" spans="1:19" ht="18.75" customHeight="1">
      <c r="A33" s="420" t="s">
        <v>43</v>
      </c>
      <c r="B33" s="447" t="s">
        <v>439</v>
      </c>
      <c r="C33" s="418">
        <f t="shared" si="9"/>
        <v>31</v>
      </c>
      <c r="D33" s="475">
        <v>19</v>
      </c>
      <c r="E33" s="475">
        <v>12</v>
      </c>
      <c r="F33" s="545">
        <v>0</v>
      </c>
      <c r="G33" s="419">
        <v>0</v>
      </c>
      <c r="H33" s="418">
        <f t="shared" si="10"/>
        <v>31</v>
      </c>
      <c r="I33" s="418">
        <f t="shared" si="8"/>
        <v>13</v>
      </c>
      <c r="J33" s="545">
        <v>9</v>
      </c>
      <c r="K33" s="545">
        <v>0</v>
      </c>
      <c r="L33" s="545">
        <v>3</v>
      </c>
      <c r="M33" s="545">
        <v>0</v>
      </c>
      <c r="N33" s="547">
        <v>0</v>
      </c>
      <c r="O33" s="547">
        <v>0</v>
      </c>
      <c r="P33" s="547">
        <v>1</v>
      </c>
      <c r="Q33" s="548">
        <v>18</v>
      </c>
      <c r="R33" s="418">
        <f t="shared" si="6"/>
        <v>22</v>
      </c>
      <c r="S33" s="493">
        <f t="shared" si="2"/>
        <v>0.6923076923076923</v>
      </c>
    </row>
    <row r="34" spans="1:19" ht="18.75" customHeight="1">
      <c r="A34" s="420" t="s">
        <v>44</v>
      </c>
      <c r="B34" s="447" t="s">
        <v>440</v>
      </c>
      <c r="C34" s="418">
        <f t="shared" si="9"/>
        <v>76</v>
      </c>
      <c r="D34" s="475">
        <v>61</v>
      </c>
      <c r="E34" s="475">
        <v>15</v>
      </c>
      <c r="F34" s="545">
        <v>0</v>
      </c>
      <c r="G34" s="419">
        <v>0</v>
      </c>
      <c r="H34" s="418">
        <f t="shared" si="10"/>
        <v>76</v>
      </c>
      <c r="I34" s="418">
        <f t="shared" si="8"/>
        <v>27</v>
      </c>
      <c r="J34" s="545">
        <v>9</v>
      </c>
      <c r="K34" s="545">
        <v>1</v>
      </c>
      <c r="L34" s="545">
        <v>17</v>
      </c>
      <c r="M34" s="545">
        <v>0</v>
      </c>
      <c r="N34" s="547">
        <v>0</v>
      </c>
      <c r="O34" s="547">
        <v>0</v>
      </c>
      <c r="P34" s="547">
        <v>0</v>
      </c>
      <c r="Q34" s="548">
        <v>49</v>
      </c>
      <c r="R34" s="418">
        <f t="shared" si="6"/>
        <v>66</v>
      </c>
      <c r="S34" s="493">
        <f t="shared" si="2"/>
        <v>0.37037037037037035</v>
      </c>
    </row>
    <row r="35" spans="1:19" ht="18.75" customHeight="1">
      <c r="A35" s="420" t="s">
        <v>45</v>
      </c>
      <c r="B35" s="447" t="s">
        <v>436</v>
      </c>
      <c r="C35" s="418">
        <f t="shared" si="9"/>
        <v>44</v>
      </c>
      <c r="D35" s="475">
        <v>26</v>
      </c>
      <c r="E35" s="475">
        <v>18</v>
      </c>
      <c r="F35" s="545">
        <v>1</v>
      </c>
      <c r="G35" s="419">
        <v>0</v>
      </c>
      <c r="H35" s="418">
        <f t="shared" si="10"/>
        <v>43</v>
      </c>
      <c r="I35" s="418">
        <f t="shared" si="8"/>
        <v>19</v>
      </c>
      <c r="J35" s="545">
        <v>11</v>
      </c>
      <c r="K35" s="545">
        <v>2</v>
      </c>
      <c r="L35" s="545">
        <v>6</v>
      </c>
      <c r="M35" s="545">
        <v>0</v>
      </c>
      <c r="N35" s="547">
        <v>0</v>
      </c>
      <c r="O35" s="547">
        <v>0</v>
      </c>
      <c r="P35" s="547">
        <v>0</v>
      </c>
      <c r="Q35" s="548">
        <v>24</v>
      </c>
      <c r="R35" s="418">
        <f t="shared" si="6"/>
        <v>30</v>
      </c>
      <c r="S35" s="493">
        <f t="shared" si="2"/>
        <v>0.6842105263157895</v>
      </c>
    </row>
    <row r="36" spans="1:19" ht="18.75" customHeight="1">
      <c r="A36" s="420" t="s">
        <v>54</v>
      </c>
      <c r="B36" s="447" t="s">
        <v>441</v>
      </c>
      <c r="C36" s="418">
        <f t="shared" si="9"/>
        <v>56</v>
      </c>
      <c r="D36" s="475">
        <v>34</v>
      </c>
      <c r="E36" s="475">
        <v>22</v>
      </c>
      <c r="F36" s="545">
        <v>0</v>
      </c>
      <c r="G36" s="419">
        <v>0</v>
      </c>
      <c r="H36" s="418">
        <f t="shared" si="10"/>
        <v>56</v>
      </c>
      <c r="I36" s="418">
        <f t="shared" si="8"/>
        <v>27</v>
      </c>
      <c r="J36" s="545">
        <v>18</v>
      </c>
      <c r="K36" s="545">
        <v>0</v>
      </c>
      <c r="L36" s="545">
        <v>9</v>
      </c>
      <c r="M36" s="545">
        <v>0</v>
      </c>
      <c r="N36" s="547">
        <v>0</v>
      </c>
      <c r="O36" s="547">
        <v>0</v>
      </c>
      <c r="P36" s="547">
        <v>0</v>
      </c>
      <c r="Q36" s="548">
        <v>29</v>
      </c>
      <c r="R36" s="418">
        <f t="shared" si="6"/>
        <v>38</v>
      </c>
      <c r="S36" s="493">
        <f t="shared" si="2"/>
        <v>0.6666666666666666</v>
      </c>
    </row>
    <row r="37" spans="1:19" ht="18.75" customHeight="1">
      <c r="A37" s="420" t="s">
        <v>55</v>
      </c>
      <c r="B37" s="447" t="s">
        <v>465</v>
      </c>
      <c r="C37" s="418">
        <f t="shared" si="9"/>
        <v>57</v>
      </c>
      <c r="D37" s="475">
        <v>42</v>
      </c>
      <c r="E37" s="475">
        <v>15</v>
      </c>
      <c r="F37" s="545">
        <v>0</v>
      </c>
      <c r="G37" s="419">
        <v>0</v>
      </c>
      <c r="H37" s="418">
        <f t="shared" si="10"/>
        <v>57</v>
      </c>
      <c r="I37" s="418">
        <f t="shared" si="8"/>
        <v>19</v>
      </c>
      <c r="J37" s="545">
        <v>14</v>
      </c>
      <c r="K37" s="545">
        <v>1</v>
      </c>
      <c r="L37" s="545">
        <v>4</v>
      </c>
      <c r="M37" s="545">
        <v>0</v>
      </c>
      <c r="N37" s="547">
        <v>0</v>
      </c>
      <c r="O37" s="547">
        <v>0</v>
      </c>
      <c r="P37" s="547">
        <v>0</v>
      </c>
      <c r="Q37" s="548">
        <v>38</v>
      </c>
      <c r="R37" s="418">
        <f t="shared" si="6"/>
        <v>42</v>
      </c>
      <c r="S37" s="493">
        <f t="shared" si="2"/>
        <v>0.7894736842105263</v>
      </c>
    </row>
    <row r="38" spans="1:19" ht="18.75" customHeight="1">
      <c r="A38" s="420" t="s">
        <v>56</v>
      </c>
      <c r="B38" s="446" t="s">
        <v>442</v>
      </c>
      <c r="C38" s="418">
        <f t="shared" si="9"/>
        <v>73</v>
      </c>
      <c r="D38" s="525">
        <v>48</v>
      </c>
      <c r="E38" s="525">
        <v>25</v>
      </c>
      <c r="F38" s="546">
        <v>0</v>
      </c>
      <c r="G38" s="419">
        <v>0</v>
      </c>
      <c r="H38" s="418">
        <f t="shared" si="10"/>
        <v>73</v>
      </c>
      <c r="I38" s="418">
        <f t="shared" si="8"/>
        <v>37</v>
      </c>
      <c r="J38" s="546">
        <v>17</v>
      </c>
      <c r="K38" s="546">
        <v>4</v>
      </c>
      <c r="L38" s="546">
        <v>15</v>
      </c>
      <c r="M38" s="546">
        <v>0</v>
      </c>
      <c r="N38" s="549">
        <v>0</v>
      </c>
      <c r="O38" s="549">
        <v>0</v>
      </c>
      <c r="P38" s="549">
        <v>1</v>
      </c>
      <c r="Q38" s="548">
        <v>36</v>
      </c>
      <c r="R38" s="418">
        <f t="shared" si="6"/>
        <v>52</v>
      </c>
      <c r="S38" s="493">
        <f t="shared" si="2"/>
        <v>0.5675675675675675</v>
      </c>
    </row>
    <row r="39" spans="1:21" ht="18.75" customHeight="1">
      <c r="A39" s="397" t="s">
        <v>45</v>
      </c>
      <c r="B39" s="494" t="s">
        <v>462</v>
      </c>
      <c r="C39" s="496">
        <f>D39+E39</f>
        <v>545</v>
      </c>
      <c r="D39" s="496">
        <f>SUM(D40:D46)</f>
        <v>429</v>
      </c>
      <c r="E39" s="496">
        <f>SUM(E40:E46)</f>
        <v>116</v>
      </c>
      <c r="F39" s="496">
        <f>SUM(F40:F46)</f>
        <v>0</v>
      </c>
      <c r="G39" s="496">
        <f>SUM(G40:G46)</f>
        <v>0</v>
      </c>
      <c r="H39" s="496">
        <f>I39+Q39</f>
        <v>545</v>
      </c>
      <c r="I39" s="496">
        <f>SUM(J39:P39)</f>
        <v>234</v>
      </c>
      <c r="J39" s="502">
        <f>SUM(J40:J46)</f>
        <v>68</v>
      </c>
      <c r="K39" s="502">
        <f aca="true" t="shared" si="12" ref="K39:R39">SUM(K40:K46)</f>
        <v>0</v>
      </c>
      <c r="L39" s="502">
        <f t="shared" si="12"/>
        <v>112</v>
      </c>
      <c r="M39" s="502">
        <f t="shared" si="12"/>
        <v>7</v>
      </c>
      <c r="N39" s="502">
        <f t="shared" si="12"/>
        <v>0</v>
      </c>
      <c r="O39" s="502">
        <f t="shared" si="12"/>
        <v>0</v>
      </c>
      <c r="P39" s="502">
        <f t="shared" si="12"/>
        <v>47</v>
      </c>
      <c r="Q39" s="502">
        <f t="shared" si="12"/>
        <v>311</v>
      </c>
      <c r="R39" s="496">
        <f t="shared" si="12"/>
        <v>477</v>
      </c>
      <c r="S39" s="497">
        <f t="shared" si="2"/>
        <v>0.2905982905982906</v>
      </c>
      <c r="T39" s="918">
        <f>I39/H39</f>
        <v>0.42935779816513764</v>
      </c>
      <c r="U39" s="919">
        <f>(R39-Q39-98)/98</f>
        <v>0.6938775510204082</v>
      </c>
    </row>
    <row r="40" spans="1:19" ht="18.75" customHeight="1">
      <c r="A40" s="420" t="s">
        <v>43</v>
      </c>
      <c r="B40" s="461" t="s">
        <v>443</v>
      </c>
      <c r="C40" s="418">
        <f t="shared" si="9"/>
        <v>17</v>
      </c>
      <c r="D40" s="419">
        <v>10</v>
      </c>
      <c r="E40" s="419">
        <v>7</v>
      </c>
      <c r="F40" s="419"/>
      <c r="G40" s="419">
        <v>0</v>
      </c>
      <c r="H40" s="418">
        <f t="shared" si="10"/>
        <v>17</v>
      </c>
      <c r="I40" s="418">
        <f t="shared" si="8"/>
        <v>9</v>
      </c>
      <c r="J40" s="419">
        <v>9</v>
      </c>
      <c r="K40" s="419">
        <v>0</v>
      </c>
      <c r="L40" s="419">
        <v>0</v>
      </c>
      <c r="M40" s="419">
        <v>0</v>
      </c>
      <c r="N40" s="419">
        <v>0</v>
      </c>
      <c r="O40" s="419">
        <v>0</v>
      </c>
      <c r="P40" s="419">
        <v>0</v>
      </c>
      <c r="Q40" s="419">
        <v>8</v>
      </c>
      <c r="R40" s="418">
        <f t="shared" si="6"/>
        <v>8</v>
      </c>
      <c r="S40" s="493">
        <f t="shared" si="2"/>
        <v>1</v>
      </c>
    </row>
    <row r="41" spans="1:19" ht="18.75" customHeight="1">
      <c r="A41" s="420" t="s">
        <v>44</v>
      </c>
      <c r="B41" s="461" t="s">
        <v>444</v>
      </c>
      <c r="C41" s="418">
        <f t="shared" si="9"/>
        <v>58</v>
      </c>
      <c r="D41" s="419">
        <v>49</v>
      </c>
      <c r="E41" s="419">
        <v>9</v>
      </c>
      <c r="F41" s="419"/>
      <c r="G41" s="419">
        <v>0</v>
      </c>
      <c r="H41" s="418">
        <f t="shared" si="10"/>
        <v>58</v>
      </c>
      <c r="I41" s="418">
        <f t="shared" si="8"/>
        <v>18</v>
      </c>
      <c r="J41" s="419">
        <v>6</v>
      </c>
      <c r="K41" s="419">
        <v>0</v>
      </c>
      <c r="L41" s="419">
        <v>8</v>
      </c>
      <c r="M41" s="419">
        <v>0</v>
      </c>
      <c r="N41" s="419">
        <v>0</v>
      </c>
      <c r="O41" s="419">
        <v>0</v>
      </c>
      <c r="P41" s="419">
        <v>4</v>
      </c>
      <c r="Q41" s="419">
        <v>40</v>
      </c>
      <c r="R41" s="418">
        <f t="shared" si="6"/>
        <v>52</v>
      </c>
      <c r="S41" s="493">
        <f t="shared" si="2"/>
        <v>0.3333333333333333</v>
      </c>
    </row>
    <row r="42" spans="1:19" ht="18.75" customHeight="1">
      <c r="A42" s="420" t="s">
        <v>45</v>
      </c>
      <c r="B42" s="461" t="s">
        <v>445</v>
      </c>
      <c r="C42" s="418">
        <f t="shared" si="9"/>
        <v>72</v>
      </c>
      <c r="D42" s="419">
        <v>48</v>
      </c>
      <c r="E42" s="419">
        <v>24</v>
      </c>
      <c r="F42" s="419"/>
      <c r="G42" s="419">
        <v>0</v>
      </c>
      <c r="H42" s="418">
        <f t="shared" si="10"/>
        <v>72</v>
      </c>
      <c r="I42" s="418">
        <f t="shared" si="8"/>
        <v>36</v>
      </c>
      <c r="J42" s="419">
        <v>13</v>
      </c>
      <c r="K42" s="419">
        <v>0</v>
      </c>
      <c r="L42" s="419">
        <v>19</v>
      </c>
      <c r="M42" s="419">
        <v>0</v>
      </c>
      <c r="N42" s="419">
        <v>0</v>
      </c>
      <c r="O42" s="419">
        <v>0</v>
      </c>
      <c r="P42" s="419">
        <v>4</v>
      </c>
      <c r="Q42" s="419">
        <v>36</v>
      </c>
      <c r="R42" s="418">
        <f t="shared" si="6"/>
        <v>59</v>
      </c>
      <c r="S42" s="493">
        <f t="shared" si="2"/>
        <v>0.3611111111111111</v>
      </c>
    </row>
    <row r="43" spans="1:19" ht="18.75" customHeight="1">
      <c r="A43" s="420" t="s">
        <v>54</v>
      </c>
      <c r="B43" s="461" t="s">
        <v>446</v>
      </c>
      <c r="C43" s="418">
        <f t="shared" si="9"/>
        <v>87</v>
      </c>
      <c r="D43" s="419">
        <v>70</v>
      </c>
      <c r="E43" s="419">
        <v>17</v>
      </c>
      <c r="F43" s="419"/>
      <c r="G43" s="419">
        <v>0</v>
      </c>
      <c r="H43" s="418">
        <f t="shared" si="10"/>
        <v>87</v>
      </c>
      <c r="I43" s="418">
        <f t="shared" si="8"/>
        <v>42</v>
      </c>
      <c r="J43" s="419">
        <v>12</v>
      </c>
      <c r="K43" s="419">
        <v>0</v>
      </c>
      <c r="L43" s="419">
        <v>22</v>
      </c>
      <c r="M43" s="419">
        <v>0</v>
      </c>
      <c r="N43" s="419">
        <v>0</v>
      </c>
      <c r="O43" s="419">
        <v>0</v>
      </c>
      <c r="P43" s="419">
        <v>8</v>
      </c>
      <c r="Q43" s="419">
        <v>45</v>
      </c>
      <c r="R43" s="418">
        <f t="shared" si="6"/>
        <v>75</v>
      </c>
      <c r="S43" s="493">
        <f t="shared" si="2"/>
        <v>0.2857142857142857</v>
      </c>
    </row>
    <row r="44" spans="1:19" ht="18.75" customHeight="1">
      <c r="A44" s="420" t="s">
        <v>55</v>
      </c>
      <c r="B44" s="461" t="s">
        <v>447</v>
      </c>
      <c r="C44" s="418">
        <f t="shared" si="9"/>
        <v>122</v>
      </c>
      <c r="D44" s="419">
        <v>89</v>
      </c>
      <c r="E44" s="419">
        <v>33</v>
      </c>
      <c r="F44" s="419"/>
      <c r="G44" s="419"/>
      <c r="H44" s="418">
        <f t="shared" si="10"/>
        <v>122</v>
      </c>
      <c r="I44" s="418">
        <f t="shared" si="8"/>
        <v>65</v>
      </c>
      <c r="J44" s="419">
        <v>5</v>
      </c>
      <c r="K44" s="419">
        <v>0</v>
      </c>
      <c r="L44" s="419">
        <v>33</v>
      </c>
      <c r="M44" s="419">
        <v>3</v>
      </c>
      <c r="N44" s="419">
        <v>0</v>
      </c>
      <c r="O44" s="419">
        <v>0</v>
      </c>
      <c r="P44" s="419">
        <v>24</v>
      </c>
      <c r="Q44" s="419">
        <v>57</v>
      </c>
      <c r="R44" s="418">
        <f t="shared" si="6"/>
        <v>117</v>
      </c>
      <c r="S44" s="493">
        <f t="shared" si="2"/>
        <v>0.07692307692307693</v>
      </c>
    </row>
    <row r="45" spans="1:19" ht="18.75" customHeight="1">
      <c r="A45" s="420" t="s">
        <v>56</v>
      </c>
      <c r="B45" s="461" t="s">
        <v>475</v>
      </c>
      <c r="C45" s="418">
        <f t="shared" si="9"/>
        <v>95</v>
      </c>
      <c r="D45" s="419">
        <v>86</v>
      </c>
      <c r="E45" s="419">
        <v>9</v>
      </c>
      <c r="F45" s="419"/>
      <c r="G45" s="419">
        <v>0</v>
      </c>
      <c r="H45" s="418">
        <f t="shared" si="10"/>
        <v>95</v>
      </c>
      <c r="I45" s="418">
        <f t="shared" si="8"/>
        <v>26</v>
      </c>
      <c r="J45" s="419">
        <v>10</v>
      </c>
      <c r="K45" s="419">
        <v>0</v>
      </c>
      <c r="L45" s="419">
        <v>12</v>
      </c>
      <c r="M45" s="419">
        <v>4</v>
      </c>
      <c r="N45" s="419">
        <v>0</v>
      </c>
      <c r="O45" s="419">
        <v>0</v>
      </c>
      <c r="P45" s="419">
        <v>0</v>
      </c>
      <c r="Q45" s="419">
        <v>69</v>
      </c>
      <c r="R45" s="418">
        <f t="shared" si="6"/>
        <v>85</v>
      </c>
      <c r="S45" s="493">
        <f t="shared" si="2"/>
        <v>0.38461538461538464</v>
      </c>
    </row>
    <row r="46" spans="1:19" ht="18.75" customHeight="1">
      <c r="A46" s="420" t="s">
        <v>57</v>
      </c>
      <c r="B46" s="461" t="s">
        <v>435</v>
      </c>
      <c r="C46" s="418">
        <f t="shared" si="9"/>
        <v>94</v>
      </c>
      <c r="D46" s="419">
        <v>77</v>
      </c>
      <c r="E46" s="419">
        <v>17</v>
      </c>
      <c r="F46" s="419"/>
      <c r="G46" s="419">
        <v>0</v>
      </c>
      <c r="H46" s="418">
        <f t="shared" si="10"/>
        <v>94</v>
      </c>
      <c r="I46" s="418">
        <f t="shared" si="8"/>
        <v>38</v>
      </c>
      <c r="J46" s="419">
        <v>13</v>
      </c>
      <c r="K46" s="419">
        <v>0</v>
      </c>
      <c r="L46" s="419">
        <v>18</v>
      </c>
      <c r="M46" s="419">
        <v>0</v>
      </c>
      <c r="N46" s="419">
        <v>0</v>
      </c>
      <c r="O46" s="419">
        <v>0</v>
      </c>
      <c r="P46" s="419">
        <v>7</v>
      </c>
      <c r="Q46" s="419">
        <v>56</v>
      </c>
      <c r="R46" s="418">
        <f t="shared" si="6"/>
        <v>81</v>
      </c>
      <c r="S46" s="493">
        <f t="shared" si="2"/>
        <v>0.34210526315789475</v>
      </c>
    </row>
    <row r="47" spans="1:21" ht="18.75" customHeight="1">
      <c r="A47" s="397" t="s">
        <v>54</v>
      </c>
      <c r="B47" s="494" t="s">
        <v>449</v>
      </c>
      <c r="C47" s="500">
        <f>D47+E47</f>
        <v>197</v>
      </c>
      <c r="D47" s="501">
        <f>D48+D49+D50</f>
        <v>124</v>
      </c>
      <c r="E47" s="501">
        <f aca="true" t="shared" si="13" ref="E47:R47">E48+E49+E50</f>
        <v>73</v>
      </c>
      <c r="F47" s="501">
        <f t="shared" si="13"/>
        <v>0</v>
      </c>
      <c r="G47" s="501">
        <f t="shared" si="13"/>
        <v>0</v>
      </c>
      <c r="H47" s="501">
        <f t="shared" si="13"/>
        <v>197</v>
      </c>
      <c r="I47" s="501">
        <f t="shared" si="13"/>
        <v>98</v>
      </c>
      <c r="J47" s="501">
        <f t="shared" si="13"/>
        <v>49</v>
      </c>
      <c r="K47" s="501">
        <f t="shared" si="13"/>
        <v>2</v>
      </c>
      <c r="L47" s="501">
        <f t="shared" si="13"/>
        <v>43</v>
      </c>
      <c r="M47" s="501">
        <f t="shared" si="13"/>
        <v>4</v>
      </c>
      <c r="N47" s="501">
        <f t="shared" si="13"/>
        <v>0</v>
      </c>
      <c r="O47" s="501">
        <f t="shared" si="13"/>
        <v>0</v>
      </c>
      <c r="P47" s="501">
        <f t="shared" si="13"/>
        <v>0</v>
      </c>
      <c r="Q47" s="501">
        <f t="shared" si="13"/>
        <v>99</v>
      </c>
      <c r="R47" s="501">
        <f t="shared" si="13"/>
        <v>146</v>
      </c>
      <c r="S47" s="497">
        <f t="shared" si="2"/>
        <v>0.5204081632653061</v>
      </c>
      <c r="T47" s="918">
        <f>I47/H47</f>
        <v>0.49746192893401014</v>
      </c>
      <c r="U47" s="919">
        <f>(R47-Q47-26)/26</f>
        <v>0.8076923076923077</v>
      </c>
    </row>
    <row r="48" spans="1:19" ht="18.75" customHeight="1">
      <c r="A48" s="420" t="s">
        <v>43</v>
      </c>
      <c r="B48" s="447" t="s">
        <v>457</v>
      </c>
      <c r="C48" s="418">
        <f t="shared" si="9"/>
        <v>43</v>
      </c>
      <c r="D48" s="539">
        <v>18</v>
      </c>
      <c r="E48" s="539">
        <v>25</v>
      </c>
      <c r="F48" s="462"/>
      <c r="G48" s="463"/>
      <c r="H48" s="418">
        <f>I48+Q48</f>
        <v>43</v>
      </c>
      <c r="I48" s="418">
        <f t="shared" si="8"/>
        <v>26</v>
      </c>
      <c r="J48" s="473">
        <v>23</v>
      </c>
      <c r="K48" s="473">
        <v>0</v>
      </c>
      <c r="L48" s="473">
        <v>2</v>
      </c>
      <c r="M48" s="473">
        <v>1</v>
      </c>
      <c r="N48" s="473"/>
      <c r="O48" s="473"/>
      <c r="P48" s="474"/>
      <c r="Q48" s="520">
        <v>17</v>
      </c>
      <c r="R48" s="418">
        <f t="shared" si="6"/>
        <v>20</v>
      </c>
      <c r="S48" s="493">
        <f t="shared" si="2"/>
        <v>0.8846153846153846</v>
      </c>
    </row>
    <row r="49" spans="1:19" ht="18.75" customHeight="1">
      <c r="A49" s="420" t="s">
        <v>44</v>
      </c>
      <c r="B49" s="447" t="s">
        <v>451</v>
      </c>
      <c r="C49" s="418">
        <f aca="true" t="shared" si="14" ref="C49:C57">D49+E49</f>
        <v>73</v>
      </c>
      <c r="D49" s="539">
        <v>46</v>
      </c>
      <c r="E49" s="539">
        <v>27</v>
      </c>
      <c r="F49" s="462"/>
      <c r="G49" s="463"/>
      <c r="H49" s="418">
        <f t="shared" si="10"/>
        <v>73</v>
      </c>
      <c r="I49" s="418">
        <f t="shared" si="8"/>
        <v>41</v>
      </c>
      <c r="J49" s="473">
        <v>13</v>
      </c>
      <c r="K49" s="473">
        <v>2</v>
      </c>
      <c r="L49" s="473">
        <v>23</v>
      </c>
      <c r="M49" s="473">
        <v>3</v>
      </c>
      <c r="N49" s="473"/>
      <c r="O49" s="473"/>
      <c r="P49" s="474"/>
      <c r="Q49" s="520">
        <v>32</v>
      </c>
      <c r="R49" s="418">
        <f>(C49-F49-J49-K49)+G49</f>
        <v>58</v>
      </c>
      <c r="S49" s="493">
        <f t="shared" si="2"/>
        <v>0.36585365853658536</v>
      </c>
    </row>
    <row r="50" spans="1:19" ht="18.75" customHeight="1">
      <c r="A50" s="464" t="s">
        <v>45</v>
      </c>
      <c r="B50" s="465" t="s">
        <v>455</v>
      </c>
      <c r="C50" s="418">
        <f t="shared" si="14"/>
        <v>81</v>
      </c>
      <c r="D50" s="539">
        <v>60</v>
      </c>
      <c r="E50" s="539">
        <v>21</v>
      </c>
      <c r="F50" s="462"/>
      <c r="G50" s="463"/>
      <c r="H50" s="418">
        <f t="shared" si="10"/>
        <v>81</v>
      </c>
      <c r="I50" s="418">
        <f t="shared" si="8"/>
        <v>31</v>
      </c>
      <c r="J50" s="473">
        <v>13</v>
      </c>
      <c r="K50" s="473">
        <v>0</v>
      </c>
      <c r="L50" s="473">
        <v>18</v>
      </c>
      <c r="M50" s="473">
        <v>0</v>
      </c>
      <c r="N50" s="473"/>
      <c r="O50" s="473"/>
      <c r="P50" s="474"/>
      <c r="Q50" s="520">
        <v>50</v>
      </c>
      <c r="R50" s="418">
        <f>(C50-F50-J50-K50)+G50</f>
        <v>68</v>
      </c>
      <c r="S50" s="493">
        <f t="shared" si="2"/>
        <v>0.41935483870967744</v>
      </c>
    </row>
    <row r="51" spans="1:21" ht="18.75" customHeight="1">
      <c r="A51" s="397" t="s">
        <v>55</v>
      </c>
      <c r="B51" s="498" t="s">
        <v>452</v>
      </c>
      <c r="C51" s="495">
        <f t="shared" si="14"/>
        <v>340</v>
      </c>
      <c r="D51" s="495">
        <f>SUM(D52:D54)</f>
        <v>183</v>
      </c>
      <c r="E51" s="495">
        <f>SUM(E52:E54)</f>
        <v>157</v>
      </c>
      <c r="F51" s="495">
        <f>SUM(F52:F54)</f>
        <v>0</v>
      </c>
      <c r="G51" s="495">
        <f>SUM(G52:G54)</f>
        <v>0</v>
      </c>
      <c r="H51" s="495">
        <f>I51+Q51</f>
        <v>340</v>
      </c>
      <c r="I51" s="495">
        <f>SUM(J51:P51)</f>
        <v>192</v>
      </c>
      <c r="J51" s="495">
        <f aca="true" t="shared" si="15" ref="J51:R51">SUM(J52:J54)</f>
        <v>92</v>
      </c>
      <c r="K51" s="495">
        <f t="shared" si="15"/>
        <v>1</v>
      </c>
      <c r="L51" s="495">
        <f t="shared" si="15"/>
        <v>99</v>
      </c>
      <c r="M51" s="495">
        <f t="shared" si="15"/>
        <v>0</v>
      </c>
      <c r="N51" s="495">
        <f t="shared" si="15"/>
        <v>0</v>
      </c>
      <c r="O51" s="495">
        <f t="shared" si="15"/>
        <v>0</v>
      </c>
      <c r="P51" s="495">
        <f t="shared" si="15"/>
        <v>0</v>
      </c>
      <c r="Q51" s="499">
        <f t="shared" si="15"/>
        <v>148</v>
      </c>
      <c r="R51" s="495">
        <f t="shared" si="15"/>
        <v>247</v>
      </c>
      <c r="S51" s="497">
        <f t="shared" si="2"/>
        <v>0.484375</v>
      </c>
      <c r="T51" s="918">
        <f>I51/H51</f>
        <v>0.5647058823529412</v>
      </c>
      <c r="U51" s="919">
        <f>(R51-Q51-34)/34</f>
        <v>1.911764705882353</v>
      </c>
    </row>
    <row r="52" spans="1:19" ht="18.75" customHeight="1">
      <c r="A52" s="420" t="s">
        <v>43</v>
      </c>
      <c r="B52" s="466" t="s">
        <v>453</v>
      </c>
      <c r="C52" s="418">
        <f t="shared" si="14"/>
        <v>69</v>
      </c>
      <c r="D52" s="476">
        <v>29</v>
      </c>
      <c r="E52" s="476">
        <v>40</v>
      </c>
      <c r="F52" s="476"/>
      <c r="G52" s="478"/>
      <c r="H52" s="418">
        <f t="shared" si="10"/>
        <v>69</v>
      </c>
      <c r="I52" s="418">
        <f t="shared" si="8"/>
        <v>43</v>
      </c>
      <c r="J52" s="476">
        <v>22</v>
      </c>
      <c r="K52" s="476">
        <v>1</v>
      </c>
      <c r="L52" s="476">
        <v>20</v>
      </c>
      <c r="M52" s="476"/>
      <c r="N52" s="531"/>
      <c r="O52" s="531"/>
      <c r="P52" s="531"/>
      <c r="Q52" s="532">
        <v>26</v>
      </c>
      <c r="R52" s="418">
        <f>C52-F52-J52-K52-G52</f>
        <v>46</v>
      </c>
      <c r="S52" s="493">
        <f t="shared" si="2"/>
        <v>0.5348837209302325</v>
      </c>
    </row>
    <row r="53" spans="1:19" ht="18.75" customHeight="1">
      <c r="A53" s="420" t="s">
        <v>44</v>
      </c>
      <c r="B53" s="466" t="s">
        <v>454</v>
      </c>
      <c r="C53" s="418">
        <f t="shared" si="14"/>
        <v>132</v>
      </c>
      <c r="D53" s="476">
        <v>68</v>
      </c>
      <c r="E53" s="476">
        <v>64</v>
      </c>
      <c r="F53" s="476"/>
      <c r="G53" s="478"/>
      <c r="H53" s="418">
        <f t="shared" si="10"/>
        <v>132</v>
      </c>
      <c r="I53" s="418">
        <f t="shared" si="8"/>
        <v>77</v>
      </c>
      <c r="J53" s="476">
        <v>39</v>
      </c>
      <c r="K53" s="476"/>
      <c r="L53" s="476">
        <v>38</v>
      </c>
      <c r="M53" s="476"/>
      <c r="N53" s="531"/>
      <c r="O53" s="531"/>
      <c r="P53" s="531"/>
      <c r="Q53" s="532">
        <v>55</v>
      </c>
      <c r="R53" s="418">
        <f aca="true" t="shared" si="16" ref="R53:R60">(C53-F53-J53-K53)+G53</f>
        <v>93</v>
      </c>
      <c r="S53" s="493">
        <f t="shared" si="2"/>
        <v>0.5064935064935064</v>
      </c>
    </row>
    <row r="54" spans="1:19" ht="18.75" customHeight="1">
      <c r="A54" s="420" t="s">
        <v>45</v>
      </c>
      <c r="B54" s="466" t="s">
        <v>448</v>
      </c>
      <c r="C54" s="418">
        <f t="shared" si="14"/>
        <v>139</v>
      </c>
      <c r="D54" s="476">
        <v>86</v>
      </c>
      <c r="E54" s="476">
        <v>53</v>
      </c>
      <c r="F54" s="476"/>
      <c r="G54" s="478"/>
      <c r="H54" s="418">
        <f t="shared" si="10"/>
        <v>139</v>
      </c>
      <c r="I54" s="418">
        <f t="shared" si="8"/>
        <v>72</v>
      </c>
      <c r="J54" s="476">
        <v>31</v>
      </c>
      <c r="K54" s="476"/>
      <c r="L54" s="476">
        <v>41</v>
      </c>
      <c r="M54" s="476"/>
      <c r="N54" s="531"/>
      <c r="O54" s="531"/>
      <c r="P54" s="531"/>
      <c r="Q54" s="532">
        <v>67</v>
      </c>
      <c r="R54" s="418">
        <f t="shared" si="16"/>
        <v>108</v>
      </c>
      <c r="S54" s="493">
        <f t="shared" si="2"/>
        <v>0.4305555555555556</v>
      </c>
    </row>
    <row r="55" spans="1:21" ht="18.75" customHeight="1">
      <c r="A55" s="397" t="s">
        <v>56</v>
      </c>
      <c r="B55" s="494" t="s">
        <v>456</v>
      </c>
      <c r="C55" s="495">
        <f t="shared" si="14"/>
        <v>73</v>
      </c>
      <c r="D55" s="495">
        <f>SUM(D56:D57)</f>
        <v>63</v>
      </c>
      <c r="E55" s="495">
        <f>SUM(E56:E57)</f>
        <v>10</v>
      </c>
      <c r="F55" s="495">
        <f>SUM(F56:F57)</f>
        <v>0</v>
      </c>
      <c r="G55" s="495">
        <f>SUM(G56:G57)</f>
        <v>0</v>
      </c>
      <c r="H55" s="495">
        <f>I55+Q55</f>
        <v>73</v>
      </c>
      <c r="I55" s="495">
        <f aca="true" t="shared" si="17" ref="I55:R55">SUM(I56:I57)</f>
        <v>23</v>
      </c>
      <c r="J55" s="495">
        <f t="shared" si="17"/>
        <v>9</v>
      </c>
      <c r="K55" s="495">
        <f t="shared" si="17"/>
        <v>0</v>
      </c>
      <c r="L55" s="495">
        <f t="shared" si="17"/>
        <v>14</v>
      </c>
      <c r="M55" s="495">
        <f t="shared" si="17"/>
        <v>0</v>
      </c>
      <c r="N55" s="495">
        <f t="shared" si="17"/>
        <v>0</v>
      </c>
      <c r="O55" s="495">
        <f t="shared" si="17"/>
        <v>0</v>
      </c>
      <c r="P55" s="495">
        <f t="shared" si="17"/>
        <v>0</v>
      </c>
      <c r="Q55" s="496">
        <f t="shared" si="17"/>
        <v>50</v>
      </c>
      <c r="R55" s="495">
        <f t="shared" si="17"/>
        <v>64</v>
      </c>
      <c r="S55" s="497">
        <f t="shared" si="2"/>
        <v>0.391304347826087</v>
      </c>
      <c r="T55" s="920">
        <f>I55/H55</f>
        <v>0.3150684931506849</v>
      </c>
      <c r="U55" s="921">
        <f>(R55-Q55-12)/12</f>
        <v>0.16666666666666666</v>
      </c>
    </row>
    <row r="56" spans="1:19" ht="18.75" customHeight="1">
      <c r="A56" s="420" t="s">
        <v>43</v>
      </c>
      <c r="B56" s="447" t="s">
        <v>450</v>
      </c>
      <c r="C56" s="418">
        <f t="shared" si="14"/>
        <v>31</v>
      </c>
      <c r="D56" s="475">
        <v>25</v>
      </c>
      <c r="E56" s="475">
        <v>6</v>
      </c>
      <c r="F56" s="475"/>
      <c r="G56" s="467"/>
      <c r="H56" s="418">
        <f t="shared" si="10"/>
        <v>31</v>
      </c>
      <c r="I56" s="418">
        <f t="shared" si="8"/>
        <v>15</v>
      </c>
      <c r="J56" s="475">
        <v>3</v>
      </c>
      <c r="K56" s="475">
        <v>0</v>
      </c>
      <c r="L56" s="475">
        <v>12</v>
      </c>
      <c r="M56" s="475">
        <v>0</v>
      </c>
      <c r="N56" s="489">
        <v>0</v>
      </c>
      <c r="O56" s="489">
        <v>0</v>
      </c>
      <c r="P56" s="489">
        <v>0</v>
      </c>
      <c r="Q56" s="490">
        <v>16</v>
      </c>
      <c r="R56" s="418">
        <f t="shared" si="16"/>
        <v>28</v>
      </c>
      <c r="S56" s="493">
        <f t="shared" si="2"/>
        <v>0.2</v>
      </c>
    </row>
    <row r="57" spans="1:19" ht="18.75" customHeight="1">
      <c r="A57" s="420" t="s">
        <v>44</v>
      </c>
      <c r="B57" s="447" t="s">
        <v>458</v>
      </c>
      <c r="C57" s="418">
        <f t="shared" si="14"/>
        <v>42</v>
      </c>
      <c r="D57" s="475">
        <v>38</v>
      </c>
      <c r="E57" s="475">
        <v>4</v>
      </c>
      <c r="F57" s="475"/>
      <c r="G57" s="467"/>
      <c r="H57" s="418">
        <f t="shared" si="10"/>
        <v>42</v>
      </c>
      <c r="I57" s="418">
        <f t="shared" si="8"/>
        <v>8</v>
      </c>
      <c r="J57" s="475">
        <v>6</v>
      </c>
      <c r="K57" s="475">
        <v>0</v>
      </c>
      <c r="L57" s="475">
        <v>2</v>
      </c>
      <c r="M57" s="475">
        <v>0</v>
      </c>
      <c r="N57" s="489">
        <v>0</v>
      </c>
      <c r="O57" s="489">
        <v>0</v>
      </c>
      <c r="P57" s="489">
        <v>0</v>
      </c>
      <c r="Q57" s="490">
        <v>34</v>
      </c>
      <c r="R57" s="418">
        <f t="shared" si="16"/>
        <v>36</v>
      </c>
      <c r="S57" s="493">
        <f t="shared" si="2"/>
        <v>0.75</v>
      </c>
    </row>
    <row r="58" spans="1:21" ht="18.75" customHeight="1">
      <c r="A58" s="397" t="s">
        <v>57</v>
      </c>
      <c r="B58" s="494" t="s">
        <v>459</v>
      </c>
      <c r="C58" s="495">
        <f>E58+D58</f>
        <v>60</v>
      </c>
      <c r="D58" s="496">
        <f>D59+D60</f>
        <v>31</v>
      </c>
      <c r="E58" s="496">
        <f>E59+E60</f>
        <v>29</v>
      </c>
      <c r="F58" s="496">
        <f>F59+F60</f>
        <v>0</v>
      </c>
      <c r="G58" s="496">
        <f>G59+G60</f>
        <v>0</v>
      </c>
      <c r="H58" s="496">
        <f>I58+Q58</f>
        <v>60</v>
      </c>
      <c r="I58" s="496">
        <f aca="true" t="shared" si="18" ref="I58:R58">I59+I60</f>
        <v>30</v>
      </c>
      <c r="J58" s="496">
        <f t="shared" si="18"/>
        <v>4</v>
      </c>
      <c r="K58" s="496">
        <f t="shared" si="18"/>
        <v>0</v>
      </c>
      <c r="L58" s="496">
        <f t="shared" si="18"/>
        <v>26</v>
      </c>
      <c r="M58" s="496">
        <f t="shared" si="18"/>
        <v>0</v>
      </c>
      <c r="N58" s="496">
        <f t="shared" si="18"/>
        <v>0</v>
      </c>
      <c r="O58" s="496">
        <f t="shared" si="18"/>
        <v>0</v>
      </c>
      <c r="P58" s="496">
        <f t="shared" si="18"/>
        <v>0</v>
      </c>
      <c r="Q58" s="496">
        <f t="shared" si="18"/>
        <v>30</v>
      </c>
      <c r="R58" s="495">
        <f t="shared" si="18"/>
        <v>56</v>
      </c>
      <c r="S58" s="497">
        <f>SUM(J58:K58)/SUM(I58)*100%</f>
        <v>0.13333333333333333</v>
      </c>
      <c r="T58" s="920">
        <f>I58/H58</f>
        <v>0.5</v>
      </c>
      <c r="U58" s="921" t="e">
        <f>(R58-Q58-0)/0</f>
        <v>#DIV/0!</v>
      </c>
    </row>
    <row r="59" spans="1:19" ht="18.75" customHeight="1">
      <c r="A59" s="420" t="s">
        <v>43</v>
      </c>
      <c r="B59" s="465" t="s">
        <v>460</v>
      </c>
      <c r="C59" s="418">
        <f>D59+E59</f>
        <v>11</v>
      </c>
      <c r="D59" s="543">
        <v>7</v>
      </c>
      <c r="E59" s="544">
        <v>4</v>
      </c>
      <c r="F59" s="533"/>
      <c r="G59" s="468">
        <v>0</v>
      </c>
      <c r="H59" s="418">
        <f t="shared" si="10"/>
        <v>11</v>
      </c>
      <c r="I59" s="418">
        <f t="shared" si="8"/>
        <v>4</v>
      </c>
      <c r="J59" s="444">
        <v>0</v>
      </c>
      <c r="K59" s="444">
        <v>0</v>
      </c>
      <c r="L59" s="444">
        <v>4</v>
      </c>
      <c r="M59" s="444">
        <v>0</v>
      </c>
      <c r="N59" s="444">
        <v>0</v>
      </c>
      <c r="O59" s="444">
        <v>0</v>
      </c>
      <c r="P59" s="444">
        <v>0</v>
      </c>
      <c r="Q59" s="444">
        <v>7</v>
      </c>
      <c r="R59" s="418">
        <f t="shared" si="16"/>
        <v>11</v>
      </c>
      <c r="S59" s="493">
        <f>SUM(J59:K59)/SUM(I59)*100%</f>
        <v>0</v>
      </c>
    </row>
    <row r="60" spans="1:19" ht="18.75" customHeight="1">
      <c r="A60" s="420" t="s">
        <v>44</v>
      </c>
      <c r="B60" s="465" t="s">
        <v>461</v>
      </c>
      <c r="C60" s="418">
        <f>D60+E60</f>
        <v>49</v>
      </c>
      <c r="D60" s="543">
        <v>24</v>
      </c>
      <c r="E60" s="544">
        <v>25</v>
      </c>
      <c r="F60" s="533"/>
      <c r="G60" s="468">
        <v>0</v>
      </c>
      <c r="H60" s="418">
        <f t="shared" si="10"/>
        <v>49</v>
      </c>
      <c r="I60" s="418">
        <f t="shared" si="8"/>
        <v>26</v>
      </c>
      <c r="J60" s="444">
        <v>4</v>
      </c>
      <c r="K60" s="444">
        <v>0</v>
      </c>
      <c r="L60" s="444">
        <v>22</v>
      </c>
      <c r="M60" s="444">
        <v>0</v>
      </c>
      <c r="N60" s="444">
        <v>0</v>
      </c>
      <c r="O60" s="444">
        <v>0</v>
      </c>
      <c r="P60" s="444">
        <v>0</v>
      </c>
      <c r="Q60" s="444">
        <v>23</v>
      </c>
      <c r="R60" s="418">
        <f t="shared" si="16"/>
        <v>45</v>
      </c>
      <c r="S60" s="493">
        <f>SUM(J60:K60)/SUM(I60)*100%</f>
        <v>0.15384615384615385</v>
      </c>
    </row>
    <row r="61" spans="1:22" ht="18.75" customHeight="1">
      <c r="A61" s="913"/>
      <c r="B61" s="913"/>
      <c r="C61" s="913"/>
      <c r="D61" s="913"/>
      <c r="E61" s="913"/>
      <c r="F61" s="913"/>
      <c r="G61" s="913"/>
      <c r="H61" s="913"/>
      <c r="I61" s="913"/>
      <c r="J61" s="913"/>
      <c r="K61" s="913"/>
      <c r="L61" s="913"/>
      <c r="M61" s="913"/>
      <c r="N61" s="913"/>
      <c r="O61" s="913"/>
      <c r="P61" s="913"/>
      <c r="Q61" s="913"/>
      <c r="R61" s="913"/>
      <c r="S61" s="913"/>
      <c r="T61" s="487"/>
      <c r="U61" s="487"/>
      <c r="V61" s="487"/>
    </row>
    <row r="62" spans="1:19" s="379" customFormat="1" ht="29.25" customHeight="1">
      <c r="A62" s="897"/>
      <c r="B62" s="897"/>
      <c r="C62" s="897"/>
      <c r="D62" s="897"/>
      <c r="E62" s="897"/>
      <c r="F62" s="409"/>
      <c r="G62" s="409"/>
      <c r="H62" s="409"/>
      <c r="I62" s="409"/>
      <c r="J62" s="409"/>
      <c r="K62" s="409"/>
      <c r="L62" s="409"/>
      <c r="M62" s="409"/>
      <c r="N62" s="898" t="str">
        <f>'Thong tin'!B8</f>
        <v>Tuyên Quang, ngày 05  tháng 11  năm 2017</v>
      </c>
      <c r="O62" s="898"/>
      <c r="P62" s="898"/>
      <c r="Q62" s="898"/>
      <c r="R62" s="898"/>
      <c r="S62" s="898"/>
    </row>
    <row r="63" spans="1:19" s="380" customFormat="1" ht="19.5" customHeight="1">
      <c r="A63" s="411"/>
      <c r="B63" s="917" t="s">
        <v>4</v>
      </c>
      <c r="C63" s="917"/>
      <c r="D63" s="917"/>
      <c r="E63" s="917"/>
      <c r="F63" s="407"/>
      <c r="G63" s="407"/>
      <c r="H63" s="407"/>
      <c r="I63" s="407"/>
      <c r="J63" s="407"/>
      <c r="K63" s="407"/>
      <c r="L63" s="407"/>
      <c r="M63" s="407"/>
      <c r="N63" s="896" t="str">
        <f>'Thong tin'!B7</f>
        <v>CỤC TRƯỞNG</v>
      </c>
      <c r="O63" s="896"/>
      <c r="P63" s="896"/>
      <c r="Q63" s="896"/>
      <c r="R63" s="896"/>
      <c r="S63" s="896"/>
    </row>
    <row r="64" spans="1:19" ht="18.75">
      <c r="A64" s="405"/>
      <c r="B64" s="861"/>
      <c r="C64" s="861"/>
      <c r="D64" s="861"/>
      <c r="E64" s="406"/>
      <c r="F64" s="406"/>
      <c r="G64" s="406"/>
      <c r="H64" s="406"/>
      <c r="I64" s="406"/>
      <c r="J64" s="406"/>
      <c r="K64" s="406"/>
      <c r="L64" s="406"/>
      <c r="M64" s="406"/>
      <c r="N64" s="860"/>
      <c r="O64" s="860"/>
      <c r="P64" s="860"/>
      <c r="Q64" s="860"/>
      <c r="R64" s="860"/>
      <c r="S64" s="860"/>
    </row>
    <row r="65" spans="1:19" ht="18.75">
      <c r="A65" s="405"/>
      <c r="B65" s="405"/>
      <c r="C65" s="405"/>
      <c r="D65" s="406"/>
      <c r="E65" s="406"/>
      <c r="F65" s="406"/>
      <c r="G65" s="406"/>
      <c r="H65" s="406"/>
      <c r="I65" s="406"/>
      <c r="J65" s="406"/>
      <c r="K65" s="406"/>
      <c r="L65" s="406"/>
      <c r="M65" s="406"/>
      <c r="N65" s="406"/>
      <c r="O65" s="406"/>
      <c r="P65" s="406"/>
      <c r="Q65" s="406"/>
      <c r="R65" s="405"/>
      <c r="S65" s="405"/>
    </row>
    <row r="66" spans="1:19" ht="18.75">
      <c r="A66" s="405"/>
      <c r="B66" s="860"/>
      <c r="C66" s="860"/>
      <c r="D66" s="860"/>
      <c r="E66" s="860"/>
      <c r="F66" s="406"/>
      <c r="G66" s="406"/>
      <c r="H66" s="406"/>
      <c r="I66" s="406"/>
      <c r="J66" s="406"/>
      <c r="K66" s="406"/>
      <c r="L66" s="406"/>
      <c r="M66" s="406"/>
      <c r="N66" s="406"/>
      <c r="O66" s="406"/>
      <c r="P66" s="860"/>
      <c r="Q66" s="860"/>
      <c r="R66" s="860"/>
      <c r="S66" s="405"/>
    </row>
    <row r="67" spans="1:19" ht="15.75" customHeight="1">
      <c r="A67" s="412"/>
      <c r="B67" s="405"/>
      <c r="C67" s="405"/>
      <c r="D67" s="406"/>
      <c r="E67" s="406"/>
      <c r="F67" s="406"/>
      <c r="G67" s="406"/>
      <c r="H67" s="406"/>
      <c r="I67" s="406"/>
      <c r="J67" s="406"/>
      <c r="K67" s="406"/>
      <c r="L67" s="406"/>
      <c r="M67" s="406"/>
      <c r="N67" s="406"/>
      <c r="O67" s="406"/>
      <c r="P67" s="406"/>
      <c r="Q67" s="406"/>
      <c r="R67" s="405"/>
      <c r="S67" s="405"/>
    </row>
    <row r="68" spans="1:19" ht="15.75" customHeight="1">
      <c r="A68" s="405"/>
      <c r="B68" s="912"/>
      <c r="C68" s="912"/>
      <c r="D68" s="912"/>
      <c r="E68" s="912"/>
      <c r="F68" s="912"/>
      <c r="G68" s="912"/>
      <c r="H68" s="912"/>
      <c r="I68" s="912"/>
      <c r="J68" s="912"/>
      <c r="K68" s="912"/>
      <c r="L68" s="912"/>
      <c r="M68" s="912"/>
      <c r="N68" s="912"/>
      <c r="O68" s="912"/>
      <c r="P68" s="406"/>
      <c r="Q68" s="406"/>
      <c r="R68" s="405"/>
      <c r="S68" s="405"/>
    </row>
    <row r="69" spans="1:19" ht="18.75">
      <c r="A69" s="408"/>
      <c r="B69" s="408"/>
      <c r="C69" s="408"/>
      <c r="D69" s="408"/>
      <c r="E69" s="408"/>
      <c r="F69" s="408"/>
      <c r="G69" s="408"/>
      <c r="H69" s="408"/>
      <c r="I69" s="408"/>
      <c r="J69" s="408"/>
      <c r="K69" s="408"/>
      <c r="L69" s="408"/>
      <c r="M69" s="408"/>
      <c r="N69" s="408"/>
      <c r="O69" s="408"/>
      <c r="P69" s="408"/>
      <c r="Q69" s="405"/>
      <c r="R69" s="405"/>
      <c r="S69" s="405"/>
    </row>
    <row r="70" spans="1:19" ht="18.75">
      <c r="A70" s="405"/>
      <c r="B70" s="405"/>
      <c r="C70" s="405"/>
      <c r="D70" s="405"/>
      <c r="E70" s="405"/>
      <c r="F70" s="405"/>
      <c r="G70" s="405"/>
      <c r="H70" s="405"/>
      <c r="I70" s="405"/>
      <c r="J70" s="405"/>
      <c r="K70" s="405"/>
      <c r="L70" s="405"/>
      <c r="M70" s="405"/>
      <c r="N70" s="405"/>
      <c r="O70" s="405"/>
      <c r="P70" s="405"/>
      <c r="Q70" s="405"/>
      <c r="R70" s="405"/>
      <c r="S70" s="405"/>
    </row>
    <row r="71" spans="1:19" ht="18.75">
      <c r="A71" s="405"/>
      <c r="B71" s="876" t="str">
        <f>'Thong tin'!B5</f>
        <v>Duy Thị Thúy</v>
      </c>
      <c r="C71" s="876"/>
      <c r="D71" s="876"/>
      <c r="E71" s="876"/>
      <c r="F71" s="405"/>
      <c r="G71" s="405"/>
      <c r="H71" s="405"/>
      <c r="I71" s="405"/>
      <c r="J71" s="405"/>
      <c r="K71" s="405"/>
      <c r="L71" s="405"/>
      <c r="M71" s="405"/>
      <c r="N71" s="876" t="str">
        <f>'Thong tin'!B6</f>
        <v>Nguyễn Tuyên </v>
      </c>
      <c r="O71" s="876"/>
      <c r="P71" s="876"/>
      <c r="Q71" s="876"/>
      <c r="R71" s="876"/>
      <c r="S71" s="876"/>
    </row>
    <row r="72" spans="1:19" ht="18.75">
      <c r="A72" s="388"/>
      <c r="B72" s="388"/>
      <c r="C72" s="388"/>
      <c r="D72" s="388"/>
      <c r="E72" s="388"/>
      <c r="F72" s="388"/>
      <c r="G72" s="388"/>
      <c r="H72" s="388"/>
      <c r="I72" s="388"/>
      <c r="J72" s="388"/>
      <c r="K72" s="388"/>
      <c r="L72" s="388"/>
      <c r="M72" s="388"/>
      <c r="N72" s="388"/>
      <c r="O72" s="388"/>
      <c r="P72" s="388"/>
      <c r="Q72" s="388"/>
      <c r="R72" s="388"/>
      <c r="S72" s="388"/>
    </row>
  </sheetData>
  <sheetProtection/>
  <mergeCells count="44">
    <mergeCell ref="N71:S71"/>
    <mergeCell ref="D7:E7"/>
    <mergeCell ref="D8:D9"/>
    <mergeCell ref="E8:E9"/>
    <mergeCell ref="J8:P8"/>
    <mergeCell ref="B71:E71"/>
    <mergeCell ref="A10:B10"/>
    <mergeCell ref="B63:E63"/>
    <mergeCell ref="Q7:Q9"/>
    <mergeCell ref="A11:B11"/>
    <mergeCell ref="N64:S64"/>
    <mergeCell ref="B68:O68"/>
    <mergeCell ref="B64:D64"/>
    <mergeCell ref="B66:E66"/>
    <mergeCell ref="P66:R66"/>
    <mergeCell ref="A61:S61"/>
    <mergeCell ref="R6:R9"/>
    <mergeCell ref="C7:C9"/>
    <mergeCell ref="I7:P7"/>
    <mergeCell ref="E1:O1"/>
    <mergeCell ref="E2:O2"/>
    <mergeCell ref="E3:O3"/>
    <mergeCell ref="F6:F9"/>
    <mergeCell ref="G6:G9"/>
    <mergeCell ref="H6:Q6"/>
    <mergeCell ref="C6:E6"/>
    <mergeCell ref="P4:S4"/>
    <mergeCell ref="H7:H9"/>
    <mergeCell ref="Z7:Z10"/>
    <mergeCell ref="A2:D2"/>
    <mergeCell ref="P2:S2"/>
    <mergeCell ref="A3:D3"/>
    <mergeCell ref="N63:S63"/>
    <mergeCell ref="A62:E62"/>
    <mergeCell ref="N62:S62"/>
    <mergeCell ref="A6:B9"/>
    <mergeCell ref="I8:I9"/>
    <mergeCell ref="S6:S9"/>
    <mergeCell ref="T7:T10"/>
    <mergeCell ref="U7:U10"/>
    <mergeCell ref="V7:V10"/>
    <mergeCell ref="W7:W10"/>
    <mergeCell ref="X7:X10"/>
    <mergeCell ref="Y7:Y10"/>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04" t="s">
        <v>29</v>
      </c>
      <c r="B1" s="604"/>
      <c r="C1" s="604"/>
      <c r="D1" s="604"/>
      <c r="E1" s="603" t="s">
        <v>359</v>
      </c>
      <c r="F1" s="603"/>
      <c r="G1" s="603"/>
      <c r="H1" s="603"/>
      <c r="I1" s="603"/>
      <c r="J1" s="603"/>
      <c r="K1" s="603"/>
      <c r="L1" s="31" t="s">
        <v>335</v>
      </c>
      <c r="M1" s="31"/>
      <c r="N1" s="31"/>
      <c r="O1" s="32"/>
      <c r="P1" s="32"/>
    </row>
    <row r="2" spans="1:16" ht="15.75" customHeight="1">
      <c r="A2" s="605" t="s">
        <v>226</v>
      </c>
      <c r="B2" s="605"/>
      <c r="C2" s="605"/>
      <c r="D2" s="605"/>
      <c r="E2" s="603"/>
      <c r="F2" s="603"/>
      <c r="G2" s="603"/>
      <c r="H2" s="603"/>
      <c r="I2" s="603"/>
      <c r="J2" s="603"/>
      <c r="K2" s="603"/>
      <c r="L2" s="595" t="s">
        <v>238</v>
      </c>
      <c r="M2" s="595"/>
      <c r="N2" s="595"/>
      <c r="O2" s="35"/>
      <c r="P2" s="32"/>
    </row>
    <row r="3" spans="1:16" ht="18" customHeight="1">
      <c r="A3" s="605" t="s">
        <v>227</v>
      </c>
      <c r="B3" s="605"/>
      <c r="C3" s="605"/>
      <c r="D3" s="605"/>
      <c r="E3" s="606" t="s">
        <v>355</v>
      </c>
      <c r="F3" s="606"/>
      <c r="G3" s="606"/>
      <c r="H3" s="606"/>
      <c r="I3" s="606"/>
      <c r="J3" s="606"/>
      <c r="K3" s="36"/>
      <c r="L3" s="596" t="s">
        <v>354</v>
      </c>
      <c r="M3" s="596"/>
      <c r="N3" s="596"/>
      <c r="O3" s="32"/>
      <c r="P3" s="32"/>
    </row>
    <row r="4" spans="1:16" ht="21" customHeight="1">
      <c r="A4" s="602" t="s">
        <v>241</v>
      </c>
      <c r="B4" s="602"/>
      <c r="C4" s="602"/>
      <c r="D4" s="602"/>
      <c r="E4" s="39"/>
      <c r="F4" s="40"/>
      <c r="G4" s="41"/>
      <c r="H4" s="41"/>
      <c r="I4" s="41"/>
      <c r="J4" s="41"/>
      <c r="K4" s="32"/>
      <c r="L4" s="595" t="s">
        <v>233</v>
      </c>
      <c r="M4" s="595"/>
      <c r="N4" s="595"/>
      <c r="O4" s="35"/>
      <c r="P4" s="32"/>
    </row>
    <row r="5" spans="1:16" ht="18" customHeight="1">
      <c r="A5" s="41"/>
      <c r="B5" s="32"/>
      <c r="C5" s="42"/>
      <c r="D5" s="600"/>
      <c r="E5" s="600"/>
      <c r="F5" s="600"/>
      <c r="G5" s="600"/>
      <c r="H5" s="600"/>
      <c r="I5" s="600"/>
      <c r="J5" s="600"/>
      <c r="K5" s="600"/>
      <c r="L5" s="43" t="s">
        <v>242</v>
      </c>
      <c r="M5" s="43"/>
      <c r="N5" s="43"/>
      <c r="O5" s="32"/>
      <c r="P5" s="32"/>
    </row>
    <row r="6" spans="1:18" ht="33" customHeight="1">
      <c r="A6" s="587" t="s">
        <v>53</v>
      </c>
      <c r="B6" s="588"/>
      <c r="C6" s="601" t="s">
        <v>243</v>
      </c>
      <c r="D6" s="601"/>
      <c r="E6" s="601"/>
      <c r="F6" s="601"/>
      <c r="G6" s="597" t="s">
        <v>7</v>
      </c>
      <c r="H6" s="598"/>
      <c r="I6" s="598"/>
      <c r="J6" s="598"/>
      <c r="K6" s="598"/>
      <c r="L6" s="598"/>
      <c r="M6" s="598"/>
      <c r="N6" s="599"/>
      <c r="O6" s="613" t="s">
        <v>244</v>
      </c>
      <c r="P6" s="614"/>
      <c r="Q6" s="614"/>
      <c r="R6" s="615"/>
    </row>
    <row r="7" spans="1:18" ht="29.25" customHeight="1">
      <c r="A7" s="589"/>
      <c r="B7" s="590"/>
      <c r="C7" s="601"/>
      <c r="D7" s="601"/>
      <c r="E7" s="601"/>
      <c r="F7" s="601"/>
      <c r="G7" s="597" t="s">
        <v>245</v>
      </c>
      <c r="H7" s="598"/>
      <c r="I7" s="598"/>
      <c r="J7" s="599"/>
      <c r="K7" s="597" t="s">
        <v>88</v>
      </c>
      <c r="L7" s="598"/>
      <c r="M7" s="598"/>
      <c r="N7" s="599"/>
      <c r="O7" s="45" t="s">
        <v>246</v>
      </c>
      <c r="P7" s="45" t="s">
        <v>247</v>
      </c>
      <c r="Q7" s="616" t="s">
        <v>248</v>
      </c>
      <c r="R7" s="616" t="s">
        <v>249</v>
      </c>
    </row>
    <row r="8" spans="1:18" ht="26.25" customHeight="1">
      <c r="A8" s="589"/>
      <c r="B8" s="590"/>
      <c r="C8" s="584" t="s">
        <v>85</v>
      </c>
      <c r="D8" s="585"/>
      <c r="E8" s="584" t="s">
        <v>84</v>
      </c>
      <c r="F8" s="585"/>
      <c r="G8" s="584" t="s">
        <v>86</v>
      </c>
      <c r="H8" s="586"/>
      <c r="I8" s="584" t="s">
        <v>87</v>
      </c>
      <c r="J8" s="586"/>
      <c r="K8" s="584" t="s">
        <v>89</v>
      </c>
      <c r="L8" s="586"/>
      <c r="M8" s="584" t="s">
        <v>90</v>
      </c>
      <c r="N8" s="586"/>
      <c r="O8" s="618" t="s">
        <v>250</v>
      </c>
      <c r="P8" s="619" t="s">
        <v>251</v>
      </c>
      <c r="Q8" s="616"/>
      <c r="R8" s="616"/>
    </row>
    <row r="9" spans="1:18" ht="30.75" customHeight="1">
      <c r="A9" s="589"/>
      <c r="B9" s="590"/>
      <c r="C9" s="46" t="s">
        <v>3</v>
      </c>
      <c r="D9" s="44" t="s">
        <v>9</v>
      </c>
      <c r="E9" s="44" t="s">
        <v>3</v>
      </c>
      <c r="F9" s="44" t="s">
        <v>9</v>
      </c>
      <c r="G9" s="47" t="s">
        <v>3</v>
      </c>
      <c r="H9" s="47" t="s">
        <v>9</v>
      </c>
      <c r="I9" s="47" t="s">
        <v>3</v>
      </c>
      <c r="J9" s="47" t="s">
        <v>9</v>
      </c>
      <c r="K9" s="47" t="s">
        <v>3</v>
      </c>
      <c r="L9" s="47" t="s">
        <v>9</v>
      </c>
      <c r="M9" s="47" t="s">
        <v>3</v>
      </c>
      <c r="N9" s="47" t="s">
        <v>9</v>
      </c>
      <c r="O9" s="618"/>
      <c r="P9" s="620"/>
      <c r="Q9" s="617"/>
      <c r="R9" s="617"/>
    </row>
    <row r="10" spans="1:18" s="52" customFormat="1" ht="18" customHeight="1">
      <c r="A10" s="609" t="s">
        <v>6</v>
      </c>
      <c r="B10" s="609"/>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611" t="s">
        <v>252</v>
      </c>
      <c r="B11" s="612"/>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593" t="s">
        <v>356</v>
      </c>
      <c r="B12" s="594"/>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591" t="s">
        <v>31</v>
      </c>
      <c r="B13" s="592"/>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10" t="s">
        <v>357</v>
      </c>
      <c r="C28" s="610"/>
      <c r="D28" s="610"/>
      <c r="E28" s="610"/>
      <c r="F28" s="75"/>
      <c r="G28" s="76"/>
      <c r="H28" s="76"/>
      <c r="I28" s="76"/>
      <c r="J28" s="610" t="s">
        <v>358</v>
      </c>
      <c r="K28" s="610"/>
      <c r="L28" s="610"/>
      <c r="M28" s="610"/>
      <c r="N28" s="610"/>
      <c r="O28" s="77"/>
      <c r="P28" s="77"/>
      <c r="AG28" s="78" t="s">
        <v>273</v>
      </c>
      <c r="AI28" s="79">
        <f>82/88</f>
        <v>0.9318181818181818</v>
      </c>
    </row>
    <row r="29" spans="1:16" s="85" customFormat="1" ht="19.5" customHeight="1">
      <c r="A29" s="80"/>
      <c r="B29" s="583" t="s">
        <v>35</v>
      </c>
      <c r="C29" s="583"/>
      <c r="D29" s="583"/>
      <c r="E29" s="583"/>
      <c r="F29" s="82"/>
      <c r="G29" s="83"/>
      <c r="H29" s="83"/>
      <c r="I29" s="83"/>
      <c r="J29" s="583" t="s">
        <v>274</v>
      </c>
      <c r="K29" s="583"/>
      <c r="L29" s="583"/>
      <c r="M29" s="583"/>
      <c r="N29" s="583"/>
      <c r="O29" s="84"/>
      <c r="P29" s="84"/>
    </row>
    <row r="30" spans="1:16" s="85" customFormat="1" ht="19.5" customHeight="1">
      <c r="A30" s="80"/>
      <c r="B30" s="607"/>
      <c r="C30" s="607"/>
      <c r="D30" s="607"/>
      <c r="E30" s="82"/>
      <c r="F30" s="82"/>
      <c r="G30" s="83"/>
      <c r="H30" s="83"/>
      <c r="I30" s="83"/>
      <c r="J30" s="608"/>
      <c r="K30" s="608"/>
      <c r="L30" s="608"/>
      <c r="M30" s="608"/>
      <c r="N30" s="608"/>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622" t="s">
        <v>275</v>
      </c>
      <c r="C32" s="622"/>
      <c r="D32" s="622"/>
      <c r="E32" s="622"/>
      <c r="F32" s="87"/>
      <c r="G32" s="88"/>
      <c r="H32" s="88"/>
      <c r="I32" s="88"/>
      <c r="J32" s="621" t="s">
        <v>275</v>
      </c>
      <c r="K32" s="621"/>
      <c r="L32" s="621"/>
      <c r="M32" s="621"/>
      <c r="N32" s="621"/>
      <c r="O32" s="84"/>
      <c r="P32" s="84"/>
    </row>
    <row r="33" spans="1:16" s="85" customFormat="1" ht="19.5" customHeight="1">
      <c r="A33" s="80"/>
      <c r="B33" s="583" t="s">
        <v>276</v>
      </c>
      <c r="C33" s="583"/>
      <c r="D33" s="583"/>
      <c r="E33" s="583"/>
      <c r="F33" s="82"/>
      <c r="G33" s="83"/>
      <c r="H33" s="83"/>
      <c r="I33" s="83"/>
      <c r="J33" s="81"/>
      <c r="K33" s="583" t="s">
        <v>276</v>
      </c>
      <c r="L33" s="583"/>
      <c r="M33" s="583"/>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81" t="s">
        <v>229</v>
      </c>
      <c r="C36" s="581"/>
      <c r="D36" s="581"/>
      <c r="E36" s="581"/>
      <c r="F36" s="91"/>
      <c r="G36" s="91"/>
      <c r="H36" s="91"/>
      <c r="I36" s="91"/>
      <c r="J36" s="582" t="s">
        <v>230</v>
      </c>
      <c r="K36" s="582"/>
      <c r="L36" s="582"/>
      <c r="M36" s="582"/>
      <c r="N36" s="582"/>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58" t="s">
        <v>26</v>
      </c>
      <c r="B1" s="658"/>
      <c r="C1" s="98"/>
      <c r="D1" s="661" t="s">
        <v>336</v>
      </c>
      <c r="E1" s="661"/>
      <c r="F1" s="661"/>
      <c r="G1" s="661"/>
      <c r="H1" s="661"/>
      <c r="I1" s="661"/>
      <c r="J1" s="661"/>
      <c r="K1" s="661"/>
      <c r="L1" s="661"/>
      <c r="M1" s="632" t="s">
        <v>277</v>
      </c>
      <c r="N1" s="633"/>
      <c r="O1" s="633"/>
      <c r="P1" s="633"/>
    </row>
    <row r="2" spans="1:16" s="42" customFormat="1" ht="34.5" customHeight="1">
      <c r="A2" s="660" t="s">
        <v>278</v>
      </c>
      <c r="B2" s="660"/>
      <c r="C2" s="660"/>
      <c r="D2" s="661"/>
      <c r="E2" s="661"/>
      <c r="F2" s="661"/>
      <c r="G2" s="661"/>
      <c r="H2" s="661"/>
      <c r="I2" s="661"/>
      <c r="J2" s="661"/>
      <c r="K2" s="661"/>
      <c r="L2" s="661"/>
      <c r="M2" s="634" t="s">
        <v>337</v>
      </c>
      <c r="N2" s="635"/>
      <c r="O2" s="635"/>
      <c r="P2" s="635"/>
    </row>
    <row r="3" spans="1:16" s="42" customFormat="1" ht="19.5" customHeight="1">
      <c r="A3" s="659" t="s">
        <v>279</v>
      </c>
      <c r="B3" s="659"/>
      <c r="C3" s="659"/>
      <c r="D3" s="661"/>
      <c r="E3" s="661"/>
      <c r="F3" s="661"/>
      <c r="G3" s="661"/>
      <c r="H3" s="661"/>
      <c r="I3" s="661"/>
      <c r="J3" s="661"/>
      <c r="K3" s="661"/>
      <c r="L3" s="661"/>
      <c r="M3" s="634" t="s">
        <v>280</v>
      </c>
      <c r="N3" s="635"/>
      <c r="O3" s="635"/>
      <c r="P3" s="635"/>
    </row>
    <row r="4" spans="1:16" s="103" customFormat="1" ht="18.75" customHeight="1">
      <c r="A4" s="99"/>
      <c r="B4" s="99"/>
      <c r="C4" s="100"/>
      <c r="D4" s="600"/>
      <c r="E4" s="600"/>
      <c r="F4" s="600"/>
      <c r="G4" s="600"/>
      <c r="H4" s="600"/>
      <c r="I4" s="600"/>
      <c r="J4" s="600"/>
      <c r="K4" s="600"/>
      <c r="L4" s="600"/>
      <c r="M4" s="101" t="s">
        <v>281</v>
      </c>
      <c r="N4" s="102"/>
      <c r="O4" s="102"/>
      <c r="P4" s="102"/>
    </row>
    <row r="5" spans="1:16" ht="49.5" customHeight="1">
      <c r="A5" s="647" t="s">
        <v>53</v>
      </c>
      <c r="B5" s="648"/>
      <c r="C5" s="653" t="s">
        <v>78</v>
      </c>
      <c r="D5" s="638"/>
      <c r="E5" s="638"/>
      <c r="F5" s="638"/>
      <c r="G5" s="638"/>
      <c r="H5" s="638"/>
      <c r="I5" s="638"/>
      <c r="J5" s="638"/>
      <c r="K5" s="636" t="s">
        <v>77</v>
      </c>
      <c r="L5" s="636"/>
      <c r="M5" s="636"/>
      <c r="N5" s="636"/>
      <c r="O5" s="636"/>
      <c r="P5" s="636"/>
    </row>
    <row r="6" spans="1:16" ht="20.25" customHeight="1">
      <c r="A6" s="649"/>
      <c r="B6" s="650"/>
      <c r="C6" s="653" t="s">
        <v>3</v>
      </c>
      <c r="D6" s="638"/>
      <c r="E6" s="638"/>
      <c r="F6" s="639"/>
      <c r="G6" s="636" t="s">
        <v>9</v>
      </c>
      <c r="H6" s="636"/>
      <c r="I6" s="636"/>
      <c r="J6" s="636"/>
      <c r="K6" s="637" t="s">
        <v>3</v>
      </c>
      <c r="L6" s="637"/>
      <c r="M6" s="637"/>
      <c r="N6" s="642" t="s">
        <v>9</v>
      </c>
      <c r="O6" s="642"/>
      <c r="P6" s="642"/>
    </row>
    <row r="7" spans="1:16" ht="52.5" customHeight="1">
      <c r="A7" s="649"/>
      <c r="B7" s="650"/>
      <c r="C7" s="654" t="s">
        <v>282</v>
      </c>
      <c r="D7" s="638" t="s">
        <v>74</v>
      </c>
      <c r="E7" s="638"/>
      <c r="F7" s="639"/>
      <c r="G7" s="636" t="s">
        <v>283</v>
      </c>
      <c r="H7" s="636" t="s">
        <v>74</v>
      </c>
      <c r="I7" s="636"/>
      <c r="J7" s="636"/>
      <c r="K7" s="636" t="s">
        <v>32</v>
      </c>
      <c r="L7" s="636" t="s">
        <v>75</v>
      </c>
      <c r="M7" s="636"/>
      <c r="N7" s="636" t="s">
        <v>60</v>
      </c>
      <c r="O7" s="636" t="s">
        <v>75</v>
      </c>
      <c r="P7" s="636"/>
    </row>
    <row r="8" spans="1:16" ht="15.75" customHeight="1">
      <c r="A8" s="649"/>
      <c r="B8" s="650"/>
      <c r="C8" s="654"/>
      <c r="D8" s="636" t="s">
        <v>36</v>
      </c>
      <c r="E8" s="636" t="s">
        <v>37</v>
      </c>
      <c r="F8" s="636" t="s">
        <v>40</v>
      </c>
      <c r="G8" s="636"/>
      <c r="H8" s="636" t="s">
        <v>36</v>
      </c>
      <c r="I8" s="636" t="s">
        <v>37</v>
      </c>
      <c r="J8" s="636" t="s">
        <v>40</v>
      </c>
      <c r="K8" s="636"/>
      <c r="L8" s="636" t="s">
        <v>14</v>
      </c>
      <c r="M8" s="636" t="s">
        <v>13</v>
      </c>
      <c r="N8" s="636"/>
      <c r="O8" s="636" t="s">
        <v>14</v>
      </c>
      <c r="P8" s="636" t="s">
        <v>13</v>
      </c>
    </row>
    <row r="9" spans="1:16" ht="44.25" customHeight="1">
      <c r="A9" s="651"/>
      <c r="B9" s="652"/>
      <c r="C9" s="655"/>
      <c r="D9" s="636"/>
      <c r="E9" s="636"/>
      <c r="F9" s="636"/>
      <c r="G9" s="636"/>
      <c r="H9" s="636"/>
      <c r="I9" s="636"/>
      <c r="J9" s="636"/>
      <c r="K9" s="636"/>
      <c r="L9" s="636"/>
      <c r="M9" s="636"/>
      <c r="N9" s="636"/>
      <c r="O9" s="636"/>
      <c r="P9" s="636"/>
    </row>
    <row r="10" spans="1:16" ht="15" customHeight="1">
      <c r="A10" s="645" t="s">
        <v>6</v>
      </c>
      <c r="B10" s="646"/>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656" t="s">
        <v>284</v>
      </c>
      <c r="B11" s="657"/>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40" t="s">
        <v>285</v>
      </c>
      <c r="B12" s="641"/>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43" t="s">
        <v>33</v>
      </c>
      <c r="B13" s="644"/>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28" t="s">
        <v>338</v>
      </c>
      <c r="C28" s="629"/>
      <c r="D28" s="629"/>
      <c r="E28" s="629"/>
      <c r="F28" s="123"/>
      <c r="G28" s="123"/>
      <c r="H28" s="123"/>
      <c r="I28" s="123"/>
      <c r="J28" s="123"/>
      <c r="K28" s="623" t="s">
        <v>339</v>
      </c>
      <c r="L28" s="623"/>
      <c r="M28" s="623"/>
      <c r="N28" s="623"/>
      <c r="O28" s="623"/>
      <c r="P28" s="623"/>
      <c r="AG28" s="73" t="s">
        <v>273</v>
      </c>
      <c r="AI28" s="113">
        <f>82/88</f>
        <v>0.9318181818181818</v>
      </c>
    </row>
    <row r="29" spans="2:16" ht="16.5">
      <c r="B29" s="629"/>
      <c r="C29" s="629"/>
      <c r="D29" s="629"/>
      <c r="E29" s="629"/>
      <c r="F29" s="123"/>
      <c r="G29" s="123"/>
      <c r="H29" s="123"/>
      <c r="I29" s="123"/>
      <c r="J29" s="123"/>
      <c r="K29" s="623"/>
      <c r="L29" s="623"/>
      <c r="M29" s="623"/>
      <c r="N29" s="623"/>
      <c r="O29" s="623"/>
      <c r="P29" s="623"/>
    </row>
    <row r="30" spans="2:16" ht="21" customHeight="1">
      <c r="B30" s="629"/>
      <c r="C30" s="629"/>
      <c r="D30" s="629"/>
      <c r="E30" s="629"/>
      <c r="F30" s="123"/>
      <c r="G30" s="123"/>
      <c r="H30" s="123"/>
      <c r="I30" s="123"/>
      <c r="J30" s="123"/>
      <c r="K30" s="623"/>
      <c r="L30" s="623"/>
      <c r="M30" s="623"/>
      <c r="N30" s="623"/>
      <c r="O30" s="623"/>
      <c r="P30" s="623"/>
    </row>
    <row r="32" spans="2:16" ht="16.5" customHeight="1">
      <c r="B32" s="631" t="s">
        <v>276</v>
      </c>
      <c r="C32" s="631"/>
      <c r="D32" s="631"/>
      <c r="E32" s="124"/>
      <c r="F32" s="124"/>
      <c r="G32" s="124"/>
      <c r="H32" s="124"/>
      <c r="I32" s="124"/>
      <c r="J32" s="124"/>
      <c r="K32" s="630" t="s">
        <v>340</v>
      </c>
      <c r="L32" s="630"/>
      <c r="M32" s="630"/>
      <c r="N32" s="630"/>
      <c r="O32" s="630"/>
      <c r="P32" s="630"/>
    </row>
    <row r="33" ht="12.75" customHeight="1"/>
    <row r="34" spans="2:5" ht="15.75">
      <c r="B34" s="125"/>
      <c r="C34" s="125"/>
      <c r="D34" s="125"/>
      <c r="E34" s="125"/>
    </row>
    <row r="35" ht="15.75" hidden="1"/>
    <row r="36" spans="2:16" ht="15.75">
      <c r="B36" s="626" t="s">
        <v>229</v>
      </c>
      <c r="C36" s="626"/>
      <c r="D36" s="626"/>
      <c r="E36" s="626"/>
      <c r="F36" s="126"/>
      <c r="G36" s="126"/>
      <c r="H36" s="126"/>
      <c r="I36" s="126"/>
      <c r="K36" s="627" t="s">
        <v>230</v>
      </c>
      <c r="L36" s="627"/>
      <c r="M36" s="627"/>
      <c r="N36" s="627"/>
      <c r="O36" s="627"/>
      <c r="P36" s="627"/>
    </row>
    <row r="39" ht="15.75">
      <c r="A39" s="128" t="s">
        <v>41</v>
      </c>
    </row>
    <row r="40" spans="1:6" ht="15.75">
      <c r="A40" s="129"/>
      <c r="B40" s="130" t="s">
        <v>46</v>
      </c>
      <c r="C40" s="130"/>
      <c r="D40" s="130"/>
      <c r="E40" s="130"/>
      <c r="F40" s="130"/>
    </row>
    <row r="41" spans="1:14" ht="15.75" customHeight="1">
      <c r="A41" s="131" t="s">
        <v>25</v>
      </c>
      <c r="B41" s="625" t="s">
        <v>49</v>
      </c>
      <c r="C41" s="625"/>
      <c r="D41" s="625"/>
      <c r="E41" s="625"/>
      <c r="F41" s="625"/>
      <c r="G41" s="131"/>
      <c r="H41" s="131"/>
      <c r="I41" s="131"/>
      <c r="J41" s="131"/>
      <c r="K41" s="131"/>
      <c r="L41" s="131"/>
      <c r="M41" s="131"/>
      <c r="N41" s="131"/>
    </row>
    <row r="42" spans="1:14" ht="15" customHeight="1">
      <c r="A42" s="131"/>
      <c r="B42" s="624" t="s">
        <v>50</v>
      </c>
      <c r="C42" s="624"/>
      <c r="D42" s="624"/>
      <c r="E42" s="624"/>
      <c r="F42" s="624"/>
      <c r="G42" s="624"/>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1:B11"/>
    <mergeCell ref="P8:P9"/>
    <mergeCell ref="O8:O9"/>
    <mergeCell ref="A12:B12"/>
    <mergeCell ref="K5:P5"/>
    <mergeCell ref="N7:N9"/>
    <mergeCell ref="N6:P6"/>
    <mergeCell ref="O7:P7"/>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04" t="s">
        <v>95</v>
      </c>
      <c r="B1" s="604"/>
      <c r="C1" s="604"/>
      <c r="D1" s="684" t="s">
        <v>341</v>
      </c>
      <c r="E1" s="684"/>
      <c r="F1" s="684"/>
      <c r="G1" s="684"/>
      <c r="H1" s="684"/>
      <c r="I1" s="684"/>
      <c r="J1" s="688" t="s">
        <v>342</v>
      </c>
      <c r="K1" s="689"/>
      <c r="L1" s="689"/>
    </row>
    <row r="2" spans="1:13" ht="15.75" customHeight="1">
      <c r="A2" s="669" t="s">
        <v>287</v>
      </c>
      <c r="B2" s="669"/>
      <c r="C2" s="669"/>
      <c r="D2" s="684"/>
      <c r="E2" s="684"/>
      <c r="F2" s="684"/>
      <c r="G2" s="684"/>
      <c r="H2" s="684"/>
      <c r="I2" s="684"/>
      <c r="J2" s="689" t="s">
        <v>288</v>
      </c>
      <c r="K2" s="689"/>
      <c r="L2" s="689"/>
      <c r="M2" s="133"/>
    </row>
    <row r="3" spans="1:13" ht="15.75" customHeight="1">
      <c r="A3" s="605" t="s">
        <v>239</v>
      </c>
      <c r="B3" s="605"/>
      <c r="C3" s="605"/>
      <c r="D3" s="684"/>
      <c r="E3" s="684"/>
      <c r="F3" s="684"/>
      <c r="G3" s="684"/>
      <c r="H3" s="684"/>
      <c r="I3" s="684"/>
      <c r="J3" s="688" t="s">
        <v>343</v>
      </c>
      <c r="K3" s="688"/>
      <c r="L3" s="688"/>
      <c r="M3" s="37"/>
    </row>
    <row r="4" spans="1:13" ht="15.75" customHeight="1">
      <c r="A4" s="687" t="s">
        <v>241</v>
      </c>
      <c r="B4" s="687"/>
      <c r="C4" s="687"/>
      <c r="D4" s="686"/>
      <c r="E4" s="686"/>
      <c r="F4" s="686"/>
      <c r="G4" s="686"/>
      <c r="H4" s="686"/>
      <c r="I4" s="686"/>
      <c r="J4" s="689" t="s">
        <v>289</v>
      </c>
      <c r="K4" s="689"/>
      <c r="L4" s="689"/>
      <c r="M4" s="133"/>
    </row>
    <row r="5" spans="1:13" ht="15.75">
      <c r="A5" s="134"/>
      <c r="B5" s="134"/>
      <c r="C5" s="34"/>
      <c r="D5" s="34"/>
      <c r="E5" s="34"/>
      <c r="F5" s="34"/>
      <c r="G5" s="34"/>
      <c r="H5" s="34"/>
      <c r="I5" s="34"/>
      <c r="J5" s="685" t="s">
        <v>8</v>
      </c>
      <c r="K5" s="685"/>
      <c r="L5" s="685"/>
      <c r="M5" s="133"/>
    </row>
    <row r="6" spans="1:14" ht="15.75">
      <c r="A6" s="672" t="s">
        <v>53</v>
      </c>
      <c r="B6" s="673"/>
      <c r="C6" s="636" t="s">
        <v>290</v>
      </c>
      <c r="D6" s="683" t="s">
        <v>291</v>
      </c>
      <c r="E6" s="683"/>
      <c r="F6" s="683"/>
      <c r="G6" s="683"/>
      <c r="H6" s="683"/>
      <c r="I6" s="683"/>
      <c r="J6" s="601" t="s">
        <v>93</v>
      </c>
      <c r="K6" s="601"/>
      <c r="L6" s="601"/>
      <c r="M6" s="690" t="s">
        <v>292</v>
      </c>
      <c r="N6" s="691" t="s">
        <v>293</v>
      </c>
    </row>
    <row r="7" spans="1:14" ht="15.75" customHeight="1">
      <c r="A7" s="674"/>
      <c r="B7" s="675"/>
      <c r="C7" s="636"/>
      <c r="D7" s="683" t="s">
        <v>7</v>
      </c>
      <c r="E7" s="683"/>
      <c r="F7" s="683"/>
      <c r="G7" s="683"/>
      <c r="H7" s="683"/>
      <c r="I7" s="683"/>
      <c r="J7" s="601"/>
      <c r="K7" s="601"/>
      <c r="L7" s="601"/>
      <c r="M7" s="690"/>
      <c r="N7" s="691"/>
    </row>
    <row r="8" spans="1:14" s="73" customFormat="1" ht="31.5" customHeight="1">
      <c r="A8" s="674"/>
      <c r="B8" s="675"/>
      <c r="C8" s="636"/>
      <c r="D8" s="601" t="s">
        <v>91</v>
      </c>
      <c r="E8" s="601" t="s">
        <v>92</v>
      </c>
      <c r="F8" s="601"/>
      <c r="G8" s="601"/>
      <c r="H8" s="601"/>
      <c r="I8" s="601"/>
      <c r="J8" s="601"/>
      <c r="K8" s="601"/>
      <c r="L8" s="601"/>
      <c r="M8" s="690"/>
      <c r="N8" s="691"/>
    </row>
    <row r="9" spans="1:14" s="73" customFormat="1" ht="15.75" customHeight="1">
      <c r="A9" s="674"/>
      <c r="B9" s="675"/>
      <c r="C9" s="636"/>
      <c r="D9" s="601"/>
      <c r="E9" s="601" t="s">
        <v>94</v>
      </c>
      <c r="F9" s="601" t="s">
        <v>7</v>
      </c>
      <c r="G9" s="601"/>
      <c r="H9" s="601"/>
      <c r="I9" s="601"/>
      <c r="J9" s="601" t="s">
        <v>7</v>
      </c>
      <c r="K9" s="601"/>
      <c r="L9" s="601"/>
      <c r="M9" s="690"/>
      <c r="N9" s="691"/>
    </row>
    <row r="10" spans="1:14" s="73" customFormat="1" ht="86.25" customHeight="1">
      <c r="A10" s="676"/>
      <c r="B10" s="677"/>
      <c r="C10" s="636"/>
      <c r="D10" s="601"/>
      <c r="E10" s="601"/>
      <c r="F10" s="104" t="s">
        <v>22</v>
      </c>
      <c r="G10" s="104" t="s">
        <v>24</v>
      </c>
      <c r="H10" s="104" t="s">
        <v>16</v>
      </c>
      <c r="I10" s="104" t="s">
        <v>23</v>
      </c>
      <c r="J10" s="104" t="s">
        <v>15</v>
      </c>
      <c r="K10" s="104" t="s">
        <v>20</v>
      </c>
      <c r="L10" s="104" t="s">
        <v>21</v>
      </c>
      <c r="M10" s="690"/>
      <c r="N10" s="691"/>
    </row>
    <row r="11" spans="1:32" ht="13.5" customHeight="1">
      <c r="A11" s="666" t="s">
        <v>5</v>
      </c>
      <c r="B11" s="667"/>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681" t="s">
        <v>284</v>
      </c>
      <c r="B12" s="682"/>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79" t="s">
        <v>240</v>
      </c>
      <c r="B13" s="680"/>
      <c r="C13" s="139">
        <v>59</v>
      </c>
      <c r="D13" s="139">
        <v>43</v>
      </c>
      <c r="E13" s="139">
        <v>0</v>
      </c>
      <c r="F13" s="139">
        <v>5</v>
      </c>
      <c r="G13" s="139">
        <v>2</v>
      </c>
      <c r="H13" s="139">
        <v>7</v>
      </c>
      <c r="I13" s="139">
        <v>2</v>
      </c>
      <c r="J13" s="139">
        <v>10</v>
      </c>
      <c r="K13" s="139">
        <v>44</v>
      </c>
      <c r="L13" s="139">
        <v>5</v>
      </c>
      <c r="M13" s="136"/>
      <c r="N13" s="137"/>
    </row>
    <row r="14" spans="1:37" s="52" customFormat="1" ht="16.5" customHeight="1">
      <c r="A14" s="664" t="s">
        <v>30</v>
      </c>
      <c r="B14" s="665"/>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610" t="s">
        <v>344</v>
      </c>
      <c r="B29" s="668"/>
      <c r="C29" s="668"/>
      <c r="D29" s="668"/>
      <c r="E29" s="158"/>
      <c r="F29" s="158"/>
      <c r="G29" s="158"/>
      <c r="H29" s="670" t="s">
        <v>294</v>
      </c>
      <c r="I29" s="670"/>
      <c r="J29" s="670"/>
      <c r="K29" s="670"/>
      <c r="L29" s="670"/>
      <c r="M29" s="159"/>
    </row>
    <row r="30" spans="1:12" ht="18.75">
      <c r="A30" s="668"/>
      <c r="B30" s="668"/>
      <c r="C30" s="668"/>
      <c r="D30" s="668"/>
      <c r="E30" s="158"/>
      <c r="F30" s="158"/>
      <c r="G30" s="158"/>
      <c r="H30" s="671" t="s">
        <v>295</v>
      </c>
      <c r="I30" s="671"/>
      <c r="J30" s="671"/>
      <c r="K30" s="671"/>
      <c r="L30" s="671"/>
    </row>
    <row r="31" spans="1:12" s="32" customFormat="1" ht="16.5" customHeight="1">
      <c r="A31" s="607"/>
      <c r="B31" s="607"/>
      <c r="C31" s="607"/>
      <c r="D31" s="607"/>
      <c r="E31" s="160"/>
      <c r="F31" s="160"/>
      <c r="G31" s="160"/>
      <c r="H31" s="608"/>
      <c r="I31" s="608"/>
      <c r="J31" s="608"/>
      <c r="K31" s="608"/>
      <c r="L31" s="608"/>
    </row>
    <row r="32" spans="1:12" ht="18.75">
      <c r="A32" s="89"/>
      <c r="B32" s="607" t="s">
        <v>276</v>
      </c>
      <c r="C32" s="607"/>
      <c r="D32" s="607"/>
      <c r="E32" s="160"/>
      <c r="F32" s="160"/>
      <c r="G32" s="160"/>
      <c r="H32" s="160"/>
      <c r="I32" s="678" t="s">
        <v>276</v>
      </c>
      <c r="J32" s="678"/>
      <c r="K32" s="678"/>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81" t="s">
        <v>229</v>
      </c>
      <c r="B37" s="581"/>
      <c r="C37" s="581"/>
      <c r="D37" s="581"/>
      <c r="E37" s="91"/>
      <c r="F37" s="91"/>
      <c r="G37" s="91"/>
      <c r="H37" s="582" t="s">
        <v>229</v>
      </c>
      <c r="I37" s="582"/>
      <c r="J37" s="582"/>
      <c r="K37" s="582"/>
      <c r="L37" s="582"/>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63" t="s">
        <v>46</v>
      </c>
      <c r="C40" s="663"/>
      <c r="D40" s="663"/>
      <c r="E40" s="663"/>
      <c r="F40" s="663"/>
      <c r="G40" s="663"/>
      <c r="H40" s="663"/>
      <c r="I40" s="663"/>
      <c r="J40" s="663"/>
      <c r="K40" s="663"/>
      <c r="L40" s="663"/>
    </row>
    <row r="41" spans="1:12" ht="16.5" customHeight="1">
      <c r="A41" s="165"/>
      <c r="B41" s="662" t="s">
        <v>48</v>
      </c>
      <c r="C41" s="662"/>
      <c r="D41" s="662"/>
      <c r="E41" s="662"/>
      <c r="F41" s="662"/>
      <c r="G41" s="662"/>
      <c r="H41" s="662"/>
      <c r="I41" s="662"/>
      <c r="J41" s="662"/>
      <c r="K41" s="662"/>
      <c r="L41" s="662"/>
    </row>
    <row r="42" ht="15.75">
      <c r="B42" s="38" t="s">
        <v>47</v>
      </c>
    </row>
  </sheetData>
  <sheetProtection/>
  <mergeCells count="38">
    <mergeCell ref="M6:M10"/>
    <mergeCell ref="N6:N10"/>
    <mergeCell ref="C6:C10"/>
    <mergeCell ref="E9:E10"/>
    <mergeCell ref="D6:I6"/>
    <mergeCell ref="E8:I8"/>
    <mergeCell ref="D8:D10"/>
    <mergeCell ref="F9:I9"/>
    <mergeCell ref="A3:C3"/>
    <mergeCell ref="D1:I3"/>
    <mergeCell ref="J5:L5"/>
    <mergeCell ref="D4:I4"/>
    <mergeCell ref="A4:C4"/>
    <mergeCell ref="J1:L1"/>
    <mergeCell ref="J2:L2"/>
    <mergeCell ref="J3:L3"/>
    <mergeCell ref="J4:L4"/>
    <mergeCell ref="A1:C1"/>
    <mergeCell ref="A6:B10"/>
    <mergeCell ref="H37:L37"/>
    <mergeCell ref="A37:D37"/>
    <mergeCell ref="B32:D32"/>
    <mergeCell ref="I32:K32"/>
    <mergeCell ref="A13:B13"/>
    <mergeCell ref="A12:B12"/>
    <mergeCell ref="J9:L9"/>
    <mergeCell ref="J6:L8"/>
    <mergeCell ref="D7:I7"/>
    <mergeCell ref="B41:L41"/>
    <mergeCell ref="B40:L40"/>
    <mergeCell ref="A14:B14"/>
    <mergeCell ref="A11:B11"/>
    <mergeCell ref="A29:D30"/>
    <mergeCell ref="A2:C2"/>
    <mergeCell ref="A31:D31"/>
    <mergeCell ref="H29:L29"/>
    <mergeCell ref="H30:L30"/>
    <mergeCell ref="H31:L31"/>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26" t="s">
        <v>117</v>
      </c>
      <c r="B1" s="726"/>
      <c r="C1" s="726"/>
      <c r="D1" s="722" t="s">
        <v>298</v>
      </c>
      <c r="E1" s="723"/>
      <c r="F1" s="723"/>
      <c r="G1" s="723"/>
      <c r="H1" s="723"/>
      <c r="I1" s="723"/>
      <c r="J1" s="723"/>
      <c r="K1" s="723"/>
      <c r="L1" s="723"/>
      <c r="M1" s="723"/>
      <c r="N1" s="723"/>
      <c r="O1" s="212"/>
      <c r="P1" s="169" t="s">
        <v>348</v>
      </c>
      <c r="Q1" s="168"/>
      <c r="R1" s="168"/>
      <c r="S1" s="168"/>
      <c r="T1" s="168"/>
      <c r="U1" s="212"/>
    </row>
    <row r="2" spans="1:21" ht="16.5" customHeight="1">
      <c r="A2" s="724" t="s">
        <v>299</v>
      </c>
      <c r="B2" s="724"/>
      <c r="C2" s="724"/>
      <c r="D2" s="723"/>
      <c r="E2" s="723"/>
      <c r="F2" s="723"/>
      <c r="G2" s="723"/>
      <c r="H2" s="723"/>
      <c r="I2" s="723"/>
      <c r="J2" s="723"/>
      <c r="K2" s="723"/>
      <c r="L2" s="723"/>
      <c r="M2" s="723"/>
      <c r="N2" s="723"/>
      <c r="O2" s="213"/>
      <c r="P2" s="715" t="s">
        <v>300</v>
      </c>
      <c r="Q2" s="715"/>
      <c r="R2" s="715"/>
      <c r="S2" s="715"/>
      <c r="T2" s="715"/>
      <c r="U2" s="213"/>
    </row>
    <row r="3" spans="1:21" ht="16.5" customHeight="1">
      <c r="A3" s="695" t="s">
        <v>301</v>
      </c>
      <c r="B3" s="695"/>
      <c r="C3" s="695"/>
      <c r="D3" s="727" t="s">
        <v>302</v>
      </c>
      <c r="E3" s="727"/>
      <c r="F3" s="727"/>
      <c r="G3" s="727"/>
      <c r="H3" s="727"/>
      <c r="I3" s="727"/>
      <c r="J3" s="727"/>
      <c r="K3" s="727"/>
      <c r="L3" s="727"/>
      <c r="M3" s="727"/>
      <c r="N3" s="727"/>
      <c r="O3" s="213"/>
      <c r="P3" s="173" t="s">
        <v>347</v>
      </c>
      <c r="Q3" s="213"/>
      <c r="R3" s="213"/>
      <c r="S3" s="213"/>
      <c r="T3" s="213"/>
      <c r="U3" s="213"/>
    </row>
    <row r="4" spans="1:21" ht="16.5" customHeight="1">
      <c r="A4" s="728" t="s">
        <v>241</v>
      </c>
      <c r="B4" s="728"/>
      <c r="C4" s="728"/>
      <c r="D4" s="704"/>
      <c r="E4" s="704"/>
      <c r="F4" s="704"/>
      <c r="G4" s="704"/>
      <c r="H4" s="704"/>
      <c r="I4" s="704"/>
      <c r="J4" s="704"/>
      <c r="K4" s="704"/>
      <c r="L4" s="704"/>
      <c r="M4" s="704"/>
      <c r="N4" s="704"/>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716" t="s">
        <v>53</v>
      </c>
      <c r="B6" s="717"/>
      <c r="C6" s="700" t="s">
        <v>118</v>
      </c>
      <c r="D6" s="725" t="s">
        <v>119</v>
      </c>
      <c r="E6" s="699"/>
      <c r="F6" s="699"/>
      <c r="G6" s="699"/>
      <c r="H6" s="699"/>
      <c r="I6" s="699"/>
      <c r="J6" s="699"/>
      <c r="K6" s="699"/>
      <c r="L6" s="699"/>
      <c r="M6" s="699"/>
      <c r="N6" s="699"/>
      <c r="O6" s="699"/>
      <c r="P6" s="699"/>
      <c r="Q6" s="699"/>
      <c r="R6" s="699"/>
      <c r="S6" s="699"/>
      <c r="T6" s="700" t="s">
        <v>120</v>
      </c>
      <c r="U6" s="216"/>
    </row>
    <row r="7" spans="1:20" s="218" customFormat="1" ht="12.75" customHeight="1">
      <c r="A7" s="718"/>
      <c r="B7" s="719"/>
      <c r="C7" s="700"/>
      <c r="D7" s="701" t="s">
        <v>115</v>
      </c>
      <c r="E7" s="699" t="s">
        <v>7</v>
      </c>
      <c r="F7" s="699"/>
      <c r="G7" s="699"/>
      <c r="H7" s="699"/>
      <c r="I7" s="699"/>
      <c r="J7" s="699"/>
      <c r="K7" s="699"/>
      <c r="L7" s="699"/>
      <c r="M7" s="699"/>
      <c r="N7" s="699"/>
      <c r="O7" s="699"/>
      <c r="P7" s="699"/>
      <c r="Q7" s="699"/>
      <c r="R7" s="699"/>
      <c r="S7" s="699"/>
      <c r="T7" s="700"/>
    </row>
    <row r="8" spans="1:21" s="218" customFormat="1" ht="43.5" customHeight="1">
      <c r="A8" s="718"/>
      <c r="B8" s="719"/>
      <c r="C8" s="700"/>
      <c r="D8" s="702"/>
      <c r="E8" s="732" t="s">
        <v>121</v>
      </c>
      <c r="F8" s="700"/>
      <c r="G8" s="700"/>
      <c r="H8" s="700" t="s">
        <v>122</v>
      </c>
      <c r="I8" s="700"/>
      <c r="J8" s="700"/>
      <c r="K8" s="700" t="s">
        <v>123</v>
      </c>
      <c r="L8" s="700"/>
      <c r="M8" s="700" t="s">
        <v>124</v>
      </c>
      <c r="N8" s="700"/>
      <c r="O8" s="700"/>
      <c r="P8" s="700" t="s">
        <v>125</v>
      </c>
      <c r="Q8" s="700" t="s">
        <v>126</v>
      </c>
      <c r="R8" s="700" t="s">
        <v>127</v>
      </c>
      <c r="S8" s="729" t="s">
        <v>128</v>
      </c>
      <c r="T8" s="700"/>
      <c r="U8" s="692" t="s">
        <v>304</v>
      </c>
    </row>
    <row r="9" spans="1:21" s="218" customFormat="1" ht="44.25" customHeight="1">
      <c r="A9" s="720"/>
      <c r="B9" s="721"/>
      <c r="C9" s="700"/>
      <c r="D9" s="703"/>
      <c r="E9" s="219" t="s">
        <v>129</v>
      </c>
      <c r="F9" s="215" t="s">
        <v>130</v>
      </c>
      <c r="G9" s="215" t="s">
        <v>305</v>
      </c>
      <c r="H9" s="215" t="s">
        <v>131</v>
      </c>
      <c r="I9" s="215" t="s">
        <v>132</v>
      </c>
      <c r="J9" s="215" t="s">
        <v>133</v>
      </c>
      <c r="K9" s="215" t="s">
        <v>130</v>
      </c>
      <c r="L9" s="215" t="s">
        <v>134</v>
      </c>
      <c r="M9" s="215" t="s">
        <v>135</v>
      </c>
      <c r="N9" s="215" t="s">
        <v>136</v>
      </c>
      <c r="O9" s="215" t="s">
        <v>306</v>
      </c>
      <c r="P9" s="700"/>
      <c r="Q9" s="700"/>
      <c r="R9" s="700"/>
      <c r="S9" s="729"/>
      <c r="T9" s="700"/>
      <c r="U9" s="693"/>
    </row>
    <row r="10" spans="1:21" s="222" customFormat="1" ht="15.75" customHeight="1">
      <c r="A10" s="696" t="s">
        <v>6</v>
      </c>
      <c r="B10" s="697"/>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693"/>
    </row>
    <row r="11" spans="1:21" s="222" customFormat="1" ht="15.75" customHeight="1">
      <c r="A11" s="730" t="s">
        <v>284</v>
      </c>
      <c r="B11" s="731"/>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694"/>
    </row>
    <row r="12" spans="1:21" s="222" customFormat="1" ht="15.75" customHeight="1">
      <c r="A12" s="706" t="s">
        <v>285</v>
      </c>
      <c r="B12" s="707"/>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12" t="s">
        <v>30</v>
      </c>
      <c r="B13" s="713"/>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698" t="s">
        <v>272</v>
      </c>
      <c r="C28" s="698"/>
      <c r="D28" s="698"/>
      <c r="E28" s="698"/>
      <c r="F28" s="181"/>
      <c r="G28" s="181"/>
      <c r="H28" s="181"/>
      <c r="I28" s="181"/>
      <c r="J28" s="181"/>
      <c r="K28" s="181" t="s">
        <v>137</v>
      </c>
      <c r="L28" s="182"/>
      <c r="M28" s="705" t="s">
        <v>307</v>
      </c>
      <c r="N28" s="705"/>
      <c r="O28" s="705"/>
      <c r="P28" s="705"/>
      <c r="Q28" s="705"/>
      <c r="R28" s="705"/>
      <c r="S28" s="705"/>
      <c r="T28" s="705"/>
    </row>
    <row r="29" spans="1:20" s="233" customFormat="1" ht="18.75" customHeight="1">
      <c r="A29" s="232"/>
      <c r="B29" s="711" t="s">
        <v>138</v>
      </c>
      <c r="C29" s="711"/>
      <c r="D29" s="711"/>
      <c r="E29" s="234"/>
      <c r="F29" s="183"/>
      <c r="G29" s="183"/>
      <c r="H29" s="183"/>
      <c r="I29" s="183"/>
      <c r="J29" s="183"/>
      <c r="K29" s="183"/>
      <c r="L29" s="182"/>
      <c r="M29" s="714" t="s">
        <v>296</v>
      </c>
      <c r="N29" s="714"/>
      <c r="O29" s="714"/>
      <c r="P29" s="714"/>
      <c r="Q29" s="714"/>
      <c r="R29" s="714"/>
      <c r="S29" s="714"/>
      <c r="T29" s="714"/>
    </row>
    <row r="30" spans="1:20" s="233" customFormat="1" ht="18.75">
      <c r="A30" s="184"/>
      <c r="B30" s="708"/>
      <c r="C30" s="708"/>
      <c r="D30" s="708"/>
      <c r="E30" s="186"/>
      <c r="F30" s="186"/>
      <c r="G30" s="186"/>
      <c r="H30" s="186"/>
      <c r="I30" s="186"/>
      <c r="J30" s="186"/>
      <c r="K30" s="186"/>
      <c r="L30" s="186"/>
      <c r="M30" s="709"/>
      <c r="N30" s="709"/>
      <c r="O30" s="709"/>
      <c r="P30" s="709"/>
      <c r="Q30" s="709"/>
      <c r="R30" s="709"/>
      <c r="S30" s="709"/>
      <c r="T30" s="709"/>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710" t="s">
        <v>276</v>
      </c>
      <c r="C36" s="710"/>
      <c r="D36" s="710"/>
      <c r="E36" s="236"/>
      <c r="F36" s="236"/>
      <c r="G36" s="236"/>
      <c r="H36" s="236"/>
      <c r="I36" s="236"/>
      <c r="J36" s="236"/>
      <c r="K36" s="236"/>
      <c r="L36" s="236"/>
      <c r="M36" s="236"/>
      <c r="N36" s="710" t="s">
        <v>276</v>
      </c>
      <c r="O36" s="710"/>
      <c r="P36" s="710"/>
      <c r="Q36" s="710"/>
      <c r="R36" s="710"/>
      <c r="S36" s="710"/>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81" t="s">
        <v>229</v>
      </c>
      <c r="C38" s="581"/>
      <c r="D38" s="581"/>
      <c r="E38" s="210"/>
      <c r="F38" s="210"/>
      <c r="G38" s="210"/>
      <c r="H38" s="210"/>
      <c r="I38" s="182"/>
      <c r="J38" s="182"/>
      <c r="K38" s="182"/>
      <c r="L38" s="182"/>
      <c r="M38" s="582" t="s">
        <v>230</v>
      </c>
      <c r="N38" s="582"/>
      <c r="O38" s="582"/>
      <c r="P38" s="582"/>
      <c r="Q38" s="582"/>
      <c r="R38" s="582"/>
      <c r="S38" s="582"/>
      <c r="T38" s="582"/>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56" t="s">
        <v>143</v>
      </c>
      <c r="B1" s="756"/>
      <c r="C1" s="756"/>
      <c r="D1" s="238"/>
      <c r="E1" s="761" t="s">
        <v>144</v>
      </c>
      <c r="F1" s="761"/>
      <c r="G1" s="761"/>
      <c r="H1" s="761"/>
      <c r="I1" s="761"/>
      <c r="J1" s="761"/>
      <c r="K1" s="761"/>
      <c r="L1" s="761"/>
      <c r="M1" s="761"/>
      <c r="N1" s="761"/>
      <c r="O1" s="191"/>
      <c r="P1" s="769" t="s">
        <v>346</v>
      </c>
      <c r="Q1" s="769"/>
      <c r="R1" s="769"/>
      <c r="S1" s="769"/>
      <c r="T1" s="769"/>
    </row>
    <row r="2" spans="1:20" ht="15.75" customHeight="1">
      <c r="A2" s="757" t="s">
        <v>308</v>
      </c>
      <c r="B2" s="757"/>
      <c r="C2" s="757"/>
      <c r="D2" s="757"/>
      <c r="E2" s="759" t="s">
        <v>145</v>
      </c>
      <c r="F2" s="759"/>
      <c r="G2" s="759"/>
      <c r="H2" s="759"/>
      <c r="I2" s="759"/>
      <c r="J2" s="759"/>
      <c r="K2" s="759"/>
      <c r="L2" s="759"/>
      <c r="M2" s="759"/>
      <c r="N2" s="759"/>
      <c r="O2" s="194"/>
      <c r="P2" s="772" t="s">
        <v>288</v>
      </c>
      <c r="Q2" s="772"/>
      <c r="R2" s="772"/>
      <c r="S2" s="772"/>
      <c r="T2" s="772"/>
    </row>
    <row r="3" spans="1:20" ht="17.25">
      <c r="A3" s="757" t="s">
        <v>239</v>
      </c>
      <c r="B3" s="757"/>
      <c r="C3" s="757"/>
      <c r="D3" s="239"/>
      <c r="E3" s="762" t="s">
        <v>240</v>
      </c>
      <c r="F3" s="762"/>
      <c r="G3" s="762"/>
      <c r="H3" s="762"/>
      <c r="I3" s="762"/>
      <c r="J3" s="762"/>
      <c r="K3" s="762"/>
      <c r="L3" s="762"/>
      <c r="M3" s="762"/>
      <c r="N3" s="762"/>
      <c r="O3" s="194"/>
      <c r="P3" s="773" t="s">
        <v>347</v>
      </c>
      <c r="Q3" s="773"/>
      <c r="R3" s="773"/>
      <c r="S3" s="773"/>
      <c r="T3" s="773"/>
    </row>
    <row r="4" spans="1:20" ht="18.75" customHeight="1">
      <c r="A4" s="758" t="s">
        <v>241</v>
      </c>
      <c r="B4" s="758"/>
      <c r="C4" s="758"/>
      <c r="D4" s="760"/>
      <c r="E4" s="760"/>
      <c r="F4" s="760"/>
      <c r="G4" s="760"/>
      <c r="H4" s="760"/>
      <c r="I4" s="760"/>
      <c r="J4" s="760"/>
      <c r="K4" s="760"/>
      <c r="L4" s="760"/>
      <c r="M4" s="760"/>
      <c r="N4" s="760"/>
      <c r="O4" s="195"/>
      <c r="P4" s="772" t="s">
        <v>280</v>
      </c>
      <c r="Q4" s="773"/>
      <c r="R4" s="773"/>
      <c r="S4" s="773"/>
      <c r="T4" s="773"/>
    </row>
    <row r="5" spans="1:23" ht="15">
      <c r="A5" s="208"/>
      <c r="B5" s="208"/>
      <c r="C5" s="240"/>
      <c r="D5" s="240"/>
      <c r="E5" s="208"/>
      <c r="F5" s="208"/>
      <c r="G5" s="208"/>
      <c r="H5" s="208"/>
      <c r="I5" s="208"/>
      <c r="J5" s="208"/>
      <c r="K5" s="208"/>
      <c r="L5" s="208"/>
      <c r="P5" s="775" t="s">
        <v>303</v>
      </c>
      <c r="Q5" s="775"/>
      <c r="R5" s="775"/>
      <c r="S5" s="775"/>
      <c r="T5" s="775"/>
      <c r="U5" s="241"/>
      <c r="V5" s="241"/>
      <c r="W5" s="241"/>
    </row>
    <row r="6" spans="1:23" ht="29.25" customHeight="1">
      <c r="A6" s="716" t="s">
        <v>53</v>
      </c>
      <c r="B6" s="743"/>
      <c r="C6" s="736" t="s">
        <v>2</v>
      </c>
      <c r="D6" s="774" t="s">
        <v>146</v>
      </c>
      <c r="E6" s="746"/>
      <c r="F6" s="746"/>
      <c r="G6" s="746"/>
      <c r="H6" s="746"/>
      <c r="I6" s="746"/>
      <c r="J6" s="747"/>
      <c r="K6" s="763" t="s">
        <v>147</v>
      </c>
      <c r="L6" s="764"/>
      <c r="M6" s="764"/>
      <c r="N6" s="764"/>
      <c r="O6" s="764"/>
      <c r="P6" s="764"/>
      <c r="Q6" s="764"/>
      <c r="R6" s="764"/>
      <c r="S6" s="764"/>
      <c r="T6" s="765"/>
      <c r="U6" s="242"/>
      <c r="V6" s="243"/>
      <c r="W6" s="243"/>
    </row>
    <row r="7" spans="1:20" ht="19.5" customHeight="1">
      <c r="A7" s="718"/>
      <c r="B7" s="744"/>
      <c r="C7" s="737"/>
      <c r="D7" s="746" t="s">
        <v>7</v>
      </c>
      <c r="E7" s="746"/>
      <c r="F7" s="746"/>
      <c r="G7" s="746"/>
      <c r="H7" s="746"/>
      <c r="I7" s="746"/>
      <c r="J7" s="747"/>
      <c r="K7" s="766"/>
      <c r="L7" s="767"/>
      <c r="M7" s="767"/>
      <c r="N7" s="767"/>
      <c r="O7" s="767"/>
      <c r="P7" s="767"/>
      <c r="Q7" s="767"/>
      <c r="R7" s="767"/>
      <c r="S7" s="767"/>
      <c r="T7" s="768"/>
    </row>
    <row r="8" spans="1:20" ht="33" customHeight="1">
      <c r="A8" s="718"/>
      <c r="B8" s="744"/>
      <c r="C8" s="737"/>
      <c r="D8" s="735" t="s">
        <v>148</v>
      </c>
      <c r="E8" s="742"/>
      <c r="F8" s="739" t="s">
        <v>149</v>
      </c>
      <c r="G8" s="742"/>
      <c r="H8" s="739" t="s">
        <v>150</v>
      </c>
      <c r="I8" s="742"/>
      <c r="J8" s="739" t="s">
        <v>151</v>
      </c>
      <c r="K8" s="771" t="s">
        <v>152</v>
      </c>
      <c r="L8" s="771"/>
      <c r="M8" s="771"/>
      <c r="N8" s="771" t="s">
        <v>153</v>
      </c>
      <c r="O8" s="771"/>
      <c r="P8" s="771"/>
      <c r="Q8" s="739" t="s">
        <v>154</v>
      </c>
      <c r="R8" s="770" t="s">
        <v>155</v>
      </c>
      <c r="S8" s="770" t="s">
        <v>156</v>
      </c>
      <c r="T8" s="739" t="s">
        <v>157</v>
      </c>
    </row>
    <row r="9" spans="1:20" ht="18.75" customHeight="1">
      <c r="A9" s="718"/>
      <c r="B9" s="744"/>
      <c r="C9" s="737"/>
      <c r="D9" s="735" t="s">
        <v>158</v>
      </c>
      <c r="E9" s="739" t="s">
        <v>159</v>
      </c>
      <c r="F9" s="739" t="s">
        <v>158</v>
      </c>
      <c r="G9" s="739" t="s">
        <v>159</v>
      </c>
      <c r="H9" s="739" t="s">
        <v>158</v>
      </c>
      <c r="I9" s="739" t="s">
        <v>160</v>
      </c>
      <c r="J9" s="739"/>
      <c r="K9" s="771"/>
      <c r="L9" s="771"/>
      <c r="M9" s="771"/>
      <c r="N9" s="771"/>
      <c r="O9" s="771"/>
      <c r="P9" s="771"/>
      <c r="Q9" s="739"/>
      <c r="R9" s="770"/>
      <c r="S9" s="770"/>
      <c r="T9" s="739"/>
    </row>
    <row r="10" spans="1:20" ht="23.25" customHeight="1">
      <c r="A10" s="720"/>
      <c r="B10" s="745"/>
      <c r="C10" s="738"/>
      <c r="D10" s="735"/>
      <c r="E10" s="739"/>
      <c r="F10" s="739"/>
      <c r="G10" s="739"/>
      <c r="H10" s="739"/>
      <c r="I10" s="739"/>
      <c r="J10" s="739"/>
      <c r="K10" s="244" t="s">
        <v>161</v>
      </c>
      <c r="L10" s="244" t="s">
        <v>136</v>
      </c>
      <c r="M10" s="244" t="s">
        <v>162</v>
      </c>
      <c r="N10" s="244" t="s">
        <v>161</v>
      </c>
      <c r="O10" s="244" t="s">
        <v>163</v>
      </c>
      <c r="P10" s="244" t="s">
        <v>164</v>
      </c>
      <c r="Q10" s="739"/>
      <c r="R10" s="770"/>
      <c r="S10" s="770"/>
      <c r="T10" s="739"/>
    </row>
    <row r="11" spans="1:32" s="201" customFormat="1" ht="17.25" customHeight="1">
      <c r="A11" s="740" t="s">
        <v>6</v>
      </c>
      <c r="B11" s="741"/>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48" t="s">
        <v>309</v>
      </c>
      <c r="B12" s="749"/>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53" t="s">
        <v>285</v>
      </c>
      <c r="B13" s="754"/>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34" t="s">
        <v>165</v>
      </c>
      <c r="B14" s="735"/>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751" t="s">
        <v>297</v>
      </c>
      <c r="C29" s="751"/>
      <c r="D29" s="751"/>
      <c r="E29" s="751"/>
      <c r="F29" s="258"/>
      <c r="G29" s="258"/>
      <c r="H29" s="258"/>
      <c r="I29" s="258"/>
      <c r="J29" s="258"/>
      <c r="K29" s="258"/>
      <c r="L29" s="206"/>
      <c r="M29" s="750" t="s">
        <v>310</v>
      </c>
      <c r="N29" s="750"/>
      <c r="O29" s="750"/>
      <c r="P29" s="750"/>
      <c r="Q29" s="750"/>
      <c r="R29" s="750"/>
      <c r="S29" s="750"/>
      <c r="T29" s="750"/>
    </row>
    <row r="30" spans="1:20" ht="18.75" customHeight="1">
      <c r="A30" s="202"/>
      <c r="B30" s="752" t="s">
        <v>138</v>
      </c>
      <c r="C30" s="752"/>
      <c r="D30" s="752"/>
      <c r="E30" s="752"/>
      <c r="F30" s="205"/>
      <c r="G30" s="205"/>
      <c r="H30" s="205"/>
      <c r="I30" s="205"/>
      <c r="J30" s="205"/>
      <c r="K30" s="205"/>
      <c r="L30" s="206"/>
      <c r="M30" s="755" t="s">
        <v>139</v>
      </c>
      <c r="N30" s="755"/>
      <c r="O30" s="755"/>
      <c r="P30" s="755"/>
      <c r="Q30" s="755"/>
      <c r="R30" s="755"/>
      <c r="S30" s="755"/>
      <c r="T30" s="755"/>
    </row>
    <row r="31" spans="1:20" ht="18.75">
      <c r="A31" s="208"/>
      <c r="B31" s="708"/>
      <c r="C31" s="708"/>
      <c r="D31" s="708"/>
      <c r="E31" s="708"/>
      <c r="F31" s="209"/>
      <c r="G31" s="209"/>
      <c r="H31" s="209"/>
      <c r="I31" s="209"/>
      <c r="J31" s="209"/>
      <c r="K31" s="209"/>
      <c r="L31" s="209"/>
      <c r="M31" s="709"/>
      <c r="N31" s="709"/>
      <c r="O31" s="709"/>
      <c r="P31" s="709"/>
      <c r="Q31" s="709"/>
      <c r="R31" s="709"/>
      <c r="S31" s="709"/>
      <c r="T31" s="709"/>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33" t="s">
        <v>276</v>
      </c>
      <c r="C33" s="733"/>
      <c r="D33" s="733"/>
      <c r="E33" s="733"/>
      <c r="F33" s="733"/>
      <c r="G33" s="259"/>
      <c r="H33" s="259"/>
      <c r="I33" s="259"/>
      <c r="J33" s="259"/>
      <c r="K33" s="259"/>
      <c r="L33" s="259"/>
      <c r="M33" s="259"/>
      <c r="N33" s="733" t="s">
        <v>276</v>
      </c>
      <c r="O33" s="733"/>
      <c r="P33" s="733"/>
      <c r="Q33" s="733"/>
      <c r="R33" s="733"/>
      <c r="S33" s="733"/>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81" t="s">
        <v>229</v>
      </c>
      <c r="C35" s="581"/>
      <c r="D35" s="581"/>
      <c r="E35" s="581"/>
      <c r="F35" s="210"/>
      <c r="G35" s="210"/>
      <c r="H35" s="210"/>
      <c r="I35" s="182"/>
      <c r="J35" s="182"/>
      <c r="K35" s="182"/>
      <c r="L35" s="182"/>
      <c r="M35" s="582" t="s">
        <v>230</v>
      </c>
      <c r="N35" s="582"/>
      <c r="O35" s="582"/>
      <c r="P35" s="582"/>
      <c r="Q35" s="582"/>
      <c r="R35" s="582"/>
      <c r="S35" s="582"/>
      <c r="T35" s="582"/>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D6:J6"/>
    <mergeCell ref="D9:D10"/>
    <mergeCell ref="F8:G8"/>
    <mergeCell ref="P5:T5"/>
    <mergeCell ref="K8:M9"/>
    <mergeCell ref="J8:J10"/>
    <mergeCell ref="H9:H10"/>
    <mergeCell ref="G9:G10"/>
    <mergeCell ref="I9:I10"/>
    <mergeCell ref="P1:T1"/>
    <mergeCell ref="S8:S10"/>
    <mergeCell ref="N8:P9"/>
    <mergeCell ref="Q8:Q10"/>
    <mergeCell ref="T8:T10"/>
    <mergeCell ref="R8:R10"/>
    <mergeCell ref="P2:T2"/>
    <mergeCell ref="P3:T3"/>
    <mergeCell ref="P4:T4"/>
    <mergeCell ref="B31:E31"/>
    <mergeCell ref="A1:C1"/>
    <mergeCell ref="A3:C3"/>
    <mergeCell ref="A4:C4"/>
    <mergeCell ref="E2:N2"/>
    <mergeCell ref="A2:D2"/>
    <mergeCell ref="D4:N4"/>
    <mergeCell ref="E1:N1"/>
    <mergeCell ref="E3:N3"/>
    <mergeCell ref="K6:T7"/>
    <mergeCell ref="A12:B12"/>
    <mergeCell ref="M35:T35"/>
    <mergeCell ref="M29:T29"/>
    <mergeCell ref="B35:E35"/>
    <mergeCell ref="B29:E29"/>
    <mergeCell ref="B30:E30"/>
    <mergeCell ref="A13:B13"/>
    <mergeCell ref="B33:F33"/>
    <mergeCell ref="M30:T30"/>
    <mergeCell ref="M31:T31"/>
    <mergeCell ref="N33:S33"/>
    <mergeCell ref="A14:B14"/>
    <mergeCell ref="C6:C10"/>
    <mergeCell ref="E9:E10"/>
    <mergeCell ref="A11:B11"/>
    <mergeCell ref="F9:F10"/>
    <mergeCell ref="D8:E8"/>
    <mergeCell ref="A6:B10"/>
    <mergeCell ref="H8:I8"/>
    <mergeCell ref="D7:J7"/>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79" t="s">
        <v>168</v>
      </c>
      <c r="B1" s="779"/>
      <c r="C1" s="779"/>
      <c r="D1" s="782" t="s">
        <v>349</v>
      </c>
      <c r="E1" s="782"/>
      <c r="F1" s="782"/>
      <c r="G1" s="782"/>
      <c r="H1" s="782"/>
      <c r="I1" s="782"/>
      <c r="J1" s="783" t="s">
        <v>350</v>
      </c>
      <c r="K1" s="784"/>
      <c r="L1" s="784"/>
    </row>
    <row r="2" spans="1:12" ht="34.5" customHeight="1">
      <c r="A2" s="785" t="s">
        <v>311</v>
      </c>
      <c r="B2" s="785"/>
      <c r="C2" s="785"/>
      <c r="D2" s="782"/>
      <c r="E2" s="782"/>
      <c r="F2" s="782"/>
      <c r="G2" s="782"/>
      <c r="H2" s="782"/>
      <c r="I2" s="782"/>
      <c r="J2" s="786" t="s">
        <v>351</v>
      </c>
      <c r="K2" s="787"/>
      <c r="L2" s="787"/>
    </row>
    <row r="3" spans="1:12" ht="15" customHeight="1">
      <c r="A3" s="265" t="s">
        <v>241</v>
      </c>
      <c r="B3" s="174"/>
      <c r="C3" s="788"/>
      <c r="D3" s="788"/>
      <c r="E3" s="788"/>
      <c r="F3" s="788"/>
      <c r="G3" s="788"/>
      <c r="H3" s="788"/>
      <c r="I3" s="788"/>
      <c r="J3" s="780"/>
      <c r="K3" s="781"/>
      <c r="L3" s="781"/>
    </row>
    <row r="4" spans="1:12" ht="15.75" customHeight="1">
      <c r="A4" s="266"/>
      <c r="B4" s="266"/>
      <c r="C4" s="267"/>
      <c r="D4" s="267"/>
      <c r="E4" s="170"/>
      <c r="F4" s="170"/>
      <c r="G4" s="170"/>
      <c r="H4" s="268"/>
      <c r="I4" s="268"/>
      <c r="J4" s="776" t="s">
        <v>169</v>
      </c>
      <c r="K4" s="776"/>
      <c r="L4" s="776"/>
    </row>
    <row r="5" spans="1:12" s="269" customFormat="1" ht="28.5" customHeight="1">
      <c r="A5" s="790" t="s">
        <v>53</v>
      </c>
      <c r="B5" s="790"/>
      <c r="C5" s="700" t="s">
        <v>31</v>
      </c>
      <c r="D5" s="700" t="s">
        <v>170</v>
      </c>
      <c r="E5" s="700"/>
      <c r="F5" s="700"/>
      <c r="G5" s="700"/>
      <c r="H5" s="700" t="s">
        <v>171</v>
      </c>
      <c r="I5" s="700"/>
      <c r="J5" s="700" t="s">
        <v>172</v>
      </c>
      <c r="K5" s="700"/>
      <c r="L5" s="700"/>
    </row>
    <row r="6" spans="1:13" s="269" customFormat="1" ht="80.25" customHeight="1">
      <c r="A6" s="790"/>
      <c r="B6" s="790"/>
      <c r="C6" s="700"/>
      <c r="D6" s="215" t="s">
        <v>173</v>
      </c>
      <c r="E6" s="215" t="s">
        <v>174</v>
      </c>
      <c r="F6" s="215" t="s">
        <v>312</v>
      </c>
      <c r="G6" s="215" t="s">
        <v>175</v>
      </c>
      <c r="H6" s="215" t="s">
        <v>176</v>
      </c>
      <c r="I6" s="215" t="s">
        <v>177</v>
      </c>
      <c r="J6" s="215" t="s">
        <v>178</v>
      </c>
      <c r="K6" s="215" t="s">
        <v>179</v>
      </c>
      <c r="L6" s="215" t="s">
        <v>180</v>
      </c>
      <c r="M6" s="270"/>
    </row>
    <row r="7" spans="1:12" s="271" customFormat="1" ht="16.5" customHeight="1">
      <c r="A7" s="777" t="s">
        <v>6</v>
      </c>
      <c r="B7" s="777"/>
      <c r="C7" s="221">
        <v>1</v>
      </c>
      <c r="D7" s="221">
        <v>2</v>
      </c>
      <c r="E7" s="221">
        <v>3</v>
      </c>
      <c r="F7" s="221">
        <v>4</v>
      </c>
      <c r="G7" s="221">
        <v>5</v>
      </c>
      <c r="H7" s="221">
        <v>6</v>
      </c>
      <c r="I7" s="221">
        <v>7</v>
      </c>
      <c r="J7" s="221">
        <v>8</v>
      </c>
      <c r="K7" s="221">
        <v>9</v>
      </c>
      <c r="L7" s="221">
        <v>10</v>
      </c>
    </row>
    <row r="8" spans="1:12" s="271" customFormat="1" ht="16.5" customHeight="1">
      <c r="A8" s="793" t="s">
        <v>309</v>
      </c>
      <c r="B8" s="794"/>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791" t="s">
        <v>285</v>
      </c>
      <c r="B9" s="792"/>
      <c r="C9" s="224">
        <v>9</v>
      </c>
      <c r="D9" s="224">
        <v>2</v>
      </c>
      <c r="E9" s="224">
        <v>2</v>
      </c>
      <c r="F9" s="224">
        <v>0</v>
      </c>
      <c r="G9" s="224">
        <v>5</v>
      </c>
      <c r="H9" s="224">
        <v>8</v>
      </c>
      <c r="I9" s="224">
        <v>0</v>
      </c>
      <c r="J9" s="224">
        <v>8</v>
      </c>
      <c r="K9" s="224">
        <v>1</v>
      </c>
      <c r="L9" s="224">
        <v>0</v>
      </c>
    </row>
    <row r="10" spans="1:12" s="271" customFormat="1" ht="16.5" customHeight="1">
      <c r="A10" s="778" t="s">
        <v>165</v>
      </c>
      <c r="B10" s="778"/>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698" t="s">
        <v>314</v>
      </c>
      <c r="B25" s="698"/>
      <c r="C25" s="698"/>
      <c r="D25" s="698"/>
      <c r="E25" s="182"/>
      <c r="F25" s="705" t="s">
        <v>272</v>
      </c>
      <c r="G25" s="705"/>
      <c r="H25" s="705"/>
      <c r="I25" s="705"/>
      <c r="J25" s="705"/>
      <c r="K25" s="705"/>
      <c r="L25" s="705"/>
      <c r="AJ25" s="190" t="s">
        <v>270</v>
      </c>
    </row>
    <row r="26" spans="1:44" ht="15" customHeight="1">
      <c r="A26" s="711" t="s">
        <v>138</v>
      </c>
      <c r="B26" s="711"/>
      <c r="C26" s="711"/>
      <c r="D26" s="711"/>
      <c r="E26" s="183"/>
      <c r="F26" s="714" t="s">
        <v>139</v>
      </c>
      <c r="G26" s="714"/>
      <c r="H26" s="714"/>
      <c r="I26" s="714"/>
      <c r="J26" s="714"/>
      <c r="K26" s="714"/>
      <c r="L26" s="714"/>
      <c r="AR26" s="190"/>
    </row>
    <row r="27" spans="1:12" s="170" customFormat="1" ht="18.75">
      <c r="A27" s="708"/>
      <c r="B27" s="708"/>
      <c r="C27" s="708"/>
      <c r="D27" s="708"/>
      <c r="E27" s="182"/>
      <c r="F27" s="709"/>
      <c r="G27" s="709"/>
      <c r="H27" s="709"/>
      <c r="I27" s="709"/>
      <c r="J27" s="709"/>
      <c r="K27" s="709"/>
      <c r="L27" s="709"/>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789" t="s">
        <v>276</v>
      </c>
      <c r="C29" s="789"/>
      <c r="D29" s="182"/>
      <c r="E29" s="182"/>
      <c r="F29" s="182"/>
      <c r="G29" s="182"/>
      <c r="H29" s="789" t="s">
        <v>276</v>
      </c>
      <c r="I29" s="789"/>
      <c r="J29" s="789"/>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81" t="s">
        <v>229</v>
      </c>
      <c r="B37" s="581"/>
      <c r="C37" s="581"/>
      <c r="D37" s="581"/>
      <c r="E37" s="210"/>
      <c r="F37" s="582" t="s">
        <v>230</v>
      </c>
      <c r="G37" s="582"/>
      <c r="H37" s="582"/>
      <c r="I37" s="582"/>
      <c r="J37" s="582"/>
      <c r="K37" s="582"/>
      <c r="L37" s="582"/>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02" t="s">
        <v>186</v>
      </c>
      <c r="B1" s="802"/>
      <c r="C1" s="802"/>
      <c r="D1" s="782" t="s">
        <v>352</v>
      </c>
      <c r="E1" s="782"/>
      <c r="F1" s="782"/>
      <c r="G1" s="782"/>
      <c r="H1" s="782"/>
      <c r="I1" s="170"/>
      <c r="J1" s="171" t="s">
        <v>346</v>
      </c>
      <c r="K1" s="280"/>
      <c r="L1" s="280"/>
    </row>
    <row r="2" spans="1:12" ht="15.75" customHeight="1">
      <c r="A2" s="806" t="s">
        <v>287</v>
      </c>
      <c r="B2" s="806"/>
      <c r="C2" s="806"/>
      <c r="D2" s="782"/>
      <c r="E2" s="782"/>
      <c r="F2" s="782"/>
      <c r="G2" s="782"/>
      <c r="H2" s="782"/>
      <c r="I2" s="170"/>
      <c r="J2" s="281" t="s">
        <v>288</v>
      </c>
      <c r="K2" s="281"/>
      <c r="L2" s="281"/>
    </row>
    <row r="3" spans="1:12" ht="18.75" customHeight="1">
      <c r="A3" s="724" t="s">
        <v>239</v>
      </c>
      <c r="B3" s="724"/>
      <c r="C3" s="724"/>
      <c r="D3" s="167"/>
      <c r="E3" s="167"/>
      <c r="F3" s="167"/>
      <c r="G3" s="167"/>
      <c r="H3" s="167"/>
      <c r="I3" s="170"/>
      <c r="J3" s="174" t="s">
        <v>345</v>
      </c>
      <c r="K3" s="174"/>
      <c r="L3" s="174"/>
    </row>
    <row r="4" spans="1:12" ht="15.75" customHeight="1">
      <c r="A4" s="803" t="s">
        <v>315</v>
      </c>
      <c r="B4" s="803"/>
      <c r="C4" s="803"/>
      <c r="D4" s="801"/>
      <c r="E4" s="801"/>
      <c r="F4" s="801"/>
      <c r="G4" s="801"/>
      <c r="H4" s="801"/>
      <c r="I4" s="170"/>
      <c r="J4" s="282" t="s">
        <v>280</v>
      </c>
      <c r="K4" s="282"/>
      <c r="L4" s="282"/>
    </row>
    <row r="5" spans="1:12" ht="15.75">
      <c r="A5" s="807"/>
      <c r="B5" s="807"/>
      <c r="C5" s="166"/>
      <c r="D5" s="170"/>
      <c r="E5" s="170"/>
      <c r="F5" s="170"/>
      <c r="G5" s="170"/>
      <c r="H5" s="283"/>
      <c r="I5" s="799" t="s">
        <v>316</v>
      </c>
      <c r="J5" s="799"/>
      <c r="K5" s="799"/>
      <c r="L5" s="799"/>
    </row>
    <row r="6" spans="1:12" ht="18.75" customHeight="1">
      <c r="A6" s="716" t="s">
        <v>53</v>
      </c>
      <c r="B6" s="717"/>
      <c r="C6" s="795" t="s">
        <v>187</v>
      </c>
      <c r="D6" s="712" t="s">
        <v>188</v>
      </c>
      <c r="E6" s="800"/>
      <c r="F6" s="713"/>
      <c r="G6" s="712" t="s">
        <v>189</v>
      </c>
      <c r="H6" s="800"/>
      <c r="I6" s="800"/>
      <c r="J6" s="800"/>
      <c r="K6" s="800"/>
      <c r="L6" s="713"/>
    </row>
    <row r="7" spans="1:12" ht="15.75" customHeight="1">
      <c r="A7" s="718"/>
      <c r="B7" s="719"/>
      <c r="C7" s="796"/>
      <c r="D7" s="712" t="s">
        <v>7</v>
      </c>
      <c r="E7" s="800"/>
      <c r="F7" s="713"/>
      <c r="G7" s="795" t="s">
        <v>30</v>
      </c>
      <c r="H7" s="712" t="s">
        <v>7</v>
      </c>
      <c r="I7" s="800"/>
      <c r="J7" s="800"/>
      <c r="K7" s="800"/>
      <c r="L7" s="713"/>
    </row>
    <row r="8" spans="1:12" ht="14.25" customHeight="1">
      <c r="A8" s="718"/>
      <c r="B8" s="719"/>
      <c r="C8" s="796"/>
      <c r="D8" s="795" t="s">
        <v>190</v>
      </c>
      <c r="E8" s="795" t="s">
        <v>191</v>
      </c>
      <c r="F8" s="795" t="s">
        <v>192</v>
      </c>
      <c r="G8" s="796"/>
      <c r="H8" s="795" t="s">
        <v>193</v>
      </c>
      <c r="I8" s="795" t="s">
        <v>194</v>
      </c>
      <c r="J8" s="795" t="s">
        <v>195</v>
      </c>
      <c r="K8" s="795" t="s">
        <v>196</v>
      </c>
      <c r="L8" s="795" t="s">
        <v>197</v>
      </c>
    </row>
    <row r="9" spans="1:12" ht="77.25" customHeight="1">
      <c r="A9" s="720"/>
      <c r="B9" s="721"/>
      <c r="C9" s="797"/>
      <c r="D9" s="797"/>
      <c r="E9" s="797"/>
      <c r="F9" s="797"/>
      <c r="G9" s="797"/>
      <c r="H9" s="797"/>
      <c r="I9" s="797"/>
      <c r="J9" s="797"/>
      <c r="K9" s="797"/>
      <c r="L9" s="797"/>
    </row>
    <row r="10" spans="1:12" s="271" customFormat="1" ht="16.5" customHeight="1">
      <c r="A10" s="808" t="s">
        <v>6</v>
      </c>
      <c r="B10" s="809"/>
      <c r="C10" s="220">
        <v>1</v>
      </c>
      <c r="D10" s="220">
        <v>2</v>
      </c>
      <c r="E10" s="220">
        <v>3</v>
      </c>
      <c r="F10" s="220">
        <v>4</v>
      </c>
      <c r="G10" s="220">
        <v>5</v>
      </c>
      <c r="H10" s="220">
        <v>6</v>
      </c>
      <c r="I10" s="220">
        <v>7</v>
      </c>
      <c r="J10" s="220">
        <v>8</v>
      </c>
      <c r="K10" s="221" t="s">
        <v>59</v>
      </c>
      <c r="L10" s="221" t="s">
        <v>79</v>
      </c>
    </row>
    <row r="11" spans="1:12" s="271" customFormat="1" ht="16.5" customHeight="1">
      <c r="A11" s="812" t="s">
        <v>284</v>
      </c>
      <c r="B11" s="813"/>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10" t="s">
        <v>285</v>
      </c>
      <c r="B12" s="811"/>
      <c r="C12" s="224">
        <v>12</v>
      </c>
      <c r="D12" s="224">
        <v>0</v>
      </c>
      <c r="E12" s="224">
        <v>1</v>
      </c>
      <c r="F12" s="224">
        <v>11</v>
      </c>
      <c r="G12" s="224">
        <v>10</v>
      </c>
      <c r="H12" s="224">
        <v>0</v>
      </c>
      <c r="I12" s="224">
        <v>0</v>
      </c>
      <c r="J12" s="224">
        <v>0</v>
      </c>
      <c r="K12" s="224">
        <v>6</v>
      </c>
      <c r="L12" s="224">
        <v>4</v>
      </c>
    </row>
    <row r="13" spans="1:32" s="271" customFormat="1" ht="16.5" customHeight="1">
      <c r="A13" s="804" t="s">
        <v>30</v>
      </c>
      <c r="B13" s="805"/>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698" t="s">
        <v>272</v>
      </c>
      <c r="B28" s="698"/>
      <c r="C28" s="698"/>
      <c r="D28" s="698"/>
      <c r="E28" s="698"/>
      <c r="F28" s="182"/>
      <c r="G28" s="181"/>
      <c r="H28" s="294" t="s">
        <v>317</v>
      </c>
      <c r="I28" s="295"/>
      <c r="J28" s="295"/>
      <c r="K28" s="295"/>
      <c r="L28" s="295"/>
      <c r="AG28" s="233" t="s">
        <v>273</v>
      </c>
      <c r="AI28" s="190">
        <f>82/88</f>
        <v>0.9318181818181818</v>
      </c>
    </row>
    <row r="29" spans="1:12" ht="15" customHeight="1">
      <c r="A29" s="711" t="s">
        <v>4</v>
      </c>
      <c r="B29" s="711"/>
      <c r="C29" s="711"/>
      <c r="D29" s="711"/>
      <c r="E29" s="711"/>
      <c r="F29" s="182"/>
      <c r="G29" s="183"/>
      <c r="H29" s="714" t="s">
        <v>139</v>
      </c>
      <c r="I29" s="714"/>
      <c r="J29" s="714"/>
      <c r="K29" s="714"/>
      <c r="L29" s="714"/>
    </row>
    <row r="30" spans="1:14" s="170" customFormat="1" ht="18.75">
      <c r="A30" s="708"/>
      <c r="B30" s="708"/>
      <c r="C30" s="708"/>
      <c r="D30" s="708"/>
      <c r="E30" s="708"/>
      <c r="F30" s="296"/>
      <c r="G30" s="182"/>
      <c r="H30" s="709"/>
      <c r="I30" s="709"/>
      <c r="J30" s="709"/>
      <c r="K30" s="709"/>
      <c r="L30" s="709"/>
      <c r="M30" s="297"/>
      <c r="N30" s="297"/>
    </row>
    <row r="31" spans="1:12" ht="18">
      <c r="A31" s="182"/>
      <c r="B31" s="182"/>
      <c r="C31" s="182"/>
      <c r="D31" s="182"/>
      <c r="E31" s="182"/>
      <c r="F31" s="182"/>
      <c r="G31" s="182"/>
      <c r="H31" s="182"/>
      <c r="I31" s="182"/>
      <c r="J31" s="182"/>
      <c r="K31" s="182"/>
      <c r="L31" s="298"/>
    </row>
    <row r="32" spans="1:12" ht="18">
      <c r="A32" s="182"/>
      <c r="B32" s="789" t="s">
        <v>276</v>
      </c>
      <c r="C32" s="789"/>
      <c r="D32" s="789"/>
      <c r="E32" s="789"/>
      <c r="F32" s="182"/>
      <c r="G32" s="182"/>
      <c r="H32" s="182"/>
      <c r="I32" s="789" t="s">
        <v>276</v>
      </c>
      <c r="J32" s="789"/>
      <c r="K32" s="789"/>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798" t="s">
        <v>198</v>
      </c>
      <c r="C40" s="798"/>
      <c r="D40" s="798"/>
      <c r="E40" s="798"/>
      <c r="F40" s="798"/>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581" t="s">
        <v>318</v>
      </c>
      <c r="B43" s="581"/>
      <c r="C43" s="581"/>
      <c r="D43" s="581"/>
      <c r="E43" s="581"/>
      <c r="F43" s="182"/>
      <c r="G43" s="301"/>
      <c r="H43" s="582" t="s">
        <v>230</v>
      </c>
      <c r="I43" s="582"/>
      <c r="J43" s="582"/>
      <c r="K43" s="582"/>
      <c r="L43" s="582"/>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26" t="s">
        <v>201</v>
      </c>
      <c r="B1" s="726"/>
      <c r="C1" s="726"/>
      <c r="D1" s="726"/>
      <c r="E1" s="306"/>
      <c r="F1" s="722" t="s">
        <v>353</v>
      </c>
      <c r="G1" s="722"/>
      <c r="H1" s="722"/>
      <c r="I1" s="722"/>
      <c r="J1" s="722"/>
      <c r="K1" s="722"/>
      <c r="L1" s="722"/>
      <c r="M1" s="722"/>
      <c r="N1" s="722"/>
      <c r="O1" s="722"/>
      <c r="P1" s="307" t="s">
        <v>277</v>
      </c>
      <c r="Q1" s="308"/>
      <c r="R1" s="308"/>
      <c r="S1" s="308"/>
      <c r="T1" s="308"/>
    </row>
    <row r="2" spans="1:20" s="177" customFormat="1" ht="20.25" customHeight="1">
      <c r="A2" s="825" t="s">
        <v>287</v>
      </c>
      <c r="B2" s="825"/>
      <c r="C2" s="825"/>
      <c r="D2" s="825"/>
      <c r="E2" s="306"/>
      <c r="F2" s="722"/>
      <c r="G2" s="722"/>
      <c r="H2" s="722"/>
      <c r="I2" s="722"/>
      <c r="J2" s="722"/>
      <c r="K2" s="722"/>
      <c r="L2" s="722"/>
      <c r="M2" s="722"/>
      <c r="N2" s="722"/>
      <c r="O2" s="722"/>
      <c r="P2" s="308" t="s">
        <v>319</v>
      </c>
      <c r="Q2" s="308"/>
      <c r="R2" s="308"/>
      <c r="S2" s="308"/>
      <c r="T2" s="308"/>
    </row>
    <row r="3" spans="1:20" s="177" customFormat="1" ht="15" customHeight="1">
      <c r="A3" s="825" t="s">
        <v>239</v>
      </c>
      <c r="B3" s="825"/>
      <c r="C3" s="825"/>
      <c r="D3" s="825"/>
      <c r="E3" s="306"/>
      <c r="F3" s="722"/>
      <c r="G3" s="722"/>
      <c r="H3" s="722"/>
      <c r="I3" s="722"/>
      <c r="J3" s="722"/>
      <c r="K3" s="722"/>
      <c r="L3" s="722"/>
      <c r="M3" s="722"/>
      <c r="N3" s="722"/>
      <c r="O3" s="722"/>
      <c r="P3" s="307" t="s">
        <v>345</v>
      </c>
      <c r="Q3" s="307"/>
      <c r="R3" s="307"/>
      <c r="S3" s="309"/>
      <c r="T3" s="309"/>
    </row>
    <row r="4" spans="1:20" s="177" customFormat="1" ht="15.75" customHeight="1">
      <c r="A4" s="833" t="s">
        <v>320</v>
      </c>
      <c r="B4" s="833"/>
      <c r="C4" s="833"/>
      <c r="D4" s="833"/>
      <c r="E4" s="307"/>
      <c r="F4" s="722"/>
      <c r="G4" s="722"/>
      <c r="H4" s="722"/>
      <c r="I4" s="722"/>
      <c r="J4" s="722"/>
      <c r="K4" s="722"/>
      <c r="L4" s="722"/>
      <c r="M4" s="722"/>
      <c r="N4" s="722"/>
      <c r="O4" s="722"/>
      <c r="P4" s="308" t="s">
        <v>289</v>
      </c>
      <c r="Q4" s="307"/>
      <c r="R4" s="307"/>
      <c r="S4" s="309"/>
      <c r="T4" s="309"/>
    </row>
    <row r="5" spans="1:18" s="177" customFormat="1" ht="24" customHeight="1">
      <c r="A5" s="310"/>
      <c r="B5" s="310"/>
      <c r="C5" s="310"/>
      <c r="F5" s="834"/>
      <c r="G5" s="834"/>
      <c r="H5" s="834"/>
      <c r="I5" s="834"/>
      <c r="J5" s="834"/>
      <c r="K5" s="834"/>
      <c r="L5" s="834"/>
      <c r="M5" s="834"/>
      <c r="N5" s="834"/>
      <c r="O5" s="834"/>
      <c r="P5" s="311" t="s">
        <v>321</v>
      </c>
      <c r="Q5" s="312"/>
      <c r="R5" s="312"/>
    </row>
    <row r="6" spans="1:20" s="313" customFormat="1" ht="21.75" customHeight="1">
      <c r="A6" s="814" t="s">
        <v>53</v>
      </c>
      <c r="B6" s="815"/>
      <c r="C6" s="729" t="s">
        <v>31</v>
      </c>
      <c r="D6" s="732"/>
      <c r="E6" s="729" t="s">
        <v>7</v>
      </c>
      <c r="F6" s="820"/>
      <c r="G6" s="820"/>
      <c r="H6" s="820"/>
      <c r="I6" s="820"/>
      <c r="J6" s="820"/>
      <c r="K6" s="820"/>
      <c r="L6" s="820"/>
      <c r="M6" s="820"/>
      <c r="N6" s="820"/>
      <c r="O6" s="820"/>
      <c r="P6" s="820"/>
      <c r="Q6" s="820"/>
      <c r="R6" s="820"/>
      <c r="S6" s="820"/>
      <c r="T6" s="732"/>
    </row>
    <row r="7" spans="1:21" s="313" customFormat="1" ht="22.5" customHeight="1">
      <c r="A7" s="816"/>
      <c r="B7" s="817"/>
      <c r="C7" s="701" t="s">
        <v>322</v>
      </c>
      <c r="D7" s="701" t="s">
        <v>323</v>
      </c>
      <c r="E7" s="729" t="s">
        <v>202</v>
      </c>
      <c r="F7" s="828"/>
      <c r="G7" s="828"/>
      <c r="H7" s="828"/>
      <c r="I7" s="828"/>
      <c r="J7" s="828"/>
      <c r="K7" s="828"/>
      <c r="L7" s="829"/>
      <c r="M7" s="729" t="s">
        <v>324</v>
      </c>
      <c r="N7" s="820"/>
      <c r="O7" s="820"/>
      <c r="P7" s="820"/>
      <c r="Q7" s="820"/>
      <c r="R7" s="820"/>
      <c r="S7" s="820"/>
      <c r="T7" s="732"/>
      <c r="U7" s="314"/>
    </row>
    <row r="8" spans="1:20" s="313" customFormat="1" ht="42.75" customHeight="1">
      <c r="A8" s="816"/>
      <c r="B8" s="817"/>
      <c r="C8" s="702"/>
      <c r="D8" s="702"/>
      <c r="E8" s="700" t="s">
        <v>325</v>
      </c>
      <c r="F8" s="700"/>
      <c r="G8" s="729" t="s">
        <v>326</v>
      </c>
      <c r="H8" s="820"/>
      <c r="I8" s="820"/>
      <c r="J8" s="820"/>
      <c r="K8" s="820"/>
      <c r="L8" s="732"/>
      <c r="M8" s="700" t="s">
        <v>327</v>
      </c>
      <c r="N8" s="700"/>
      <c r="O8" s="729" t="s">
        <v>326</v>
      </c>
      <c r="P8" s="820"/>
      <c r="Q8" s="820"/>
      <c r="R8" s="820"/>
      <c r="S8" s="820"/>
      <c r="T8" s="732"/>
    </row>
    <row r="9" spans="1:20" s="313" customFormat="1" ht="35.25" customHeight="1">
      <c r="A9" s="816"/>
      <c r="B9" s="817"/>
      <c r="C9" s="702"/>
      <c r="D9" s="702"/>
      <c r="E9" s="701" t="s">
        <v>203</v>
      </c>
      <c r="F9" s="701" t="s">
        <v>204</v>
      </c>
      <c r="G9" s="818" t="s">
        <v>205</v>
      </c>
      <c r="H9" s="819"/>
      <c r="I9" s="818" t="s">
        <v>206</v>
      </c>
      <c r="J9" s="819"/>
      <c r="K9" s="818" t="s">
        <v>207</v>
      </c>
      <c r="L9" s="819"/>
      <c r="M9" s="701" t="s">
        <v>208</v>
      </c>
      <c r="N9" s="701" t="s">
        <v>204</v>
      </c>
      <c r="O9" s="818" t="s">
        <v>205</v>
      </c>
      <c r="P9" s="819"/>
      <c r="Q9" s="818" t="s">
        <v>209</v>
      </c>
      <c r="R9" s="819"/>
      <c r="S9" s="818" t="s">
        <v>210</v>
      </c>
      <c r="T9" s="819"/>
    </row>
    <row r="10" spans="1:20" s="313" customFormat="1" ht="25.5" customHeight="1">
      <c r="A10" s="818"/>
      <c r="B10" s="819"/>
      <c r="C10" s="703"/>
      <c r="D10" s="703"/>
      <c r="E10" s="703"/>
      <c r="F10" s="703"/>
      <c r="G10" s="215" t="s">
        <v>208</v>
      </c>
      <c r="H10" s="215" t="s">
        <v>204</v>
      </c>
      <c r="I10" s="219" t="s">
        <v>208</v>
      </c>
      <c r="J10" s="215" t="s">
        <v>204</v>
      </c>
      <c r="K10" s="219" t="s">
        <v>208</v>
      </c>
      <c r="L10" s="215" t="s">
        <v>204</v>
      </c>
      <c r="M10" s="703"/>
      <c r="N10" s="703"/>
      <c r="O10" s="215" t="s">
        <v>208</v>
      </c>
      <c r="P10" s="215" t="s">
        <v>204</v>
      </c>
      <c r="Q10" s="219" t="s">
        <v>208</v>
      </c>
      <c r="R10" s="215" t="s">
        <v>204</v>
      </c>
      <c r="S10" s="219" t="s">
        <v>208</v>
      </c>
      <c r="T10" s="215" t="s">
        <v>204</v>
      </c>
    </row>
    <row r="11" spans="1:32" s="222" customFormat="1" ht="12.75">
      <c r="A11" s="826" t="s">
        <v>6</v>
      </c>
      <c r="B11" s="827"/>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823" t="s">
        <v>309</v>
      </c>
      <c r="B12" s="824"/>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31" t="s">
        <v>285</v>
      </c>
      <c r="B13" s="832"/>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21" t="s">
        <v>30</v>
      </c>
      <c r="B14" s="822"/>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698" t="s">
        <v>272</v>
      </c>
      <c r="C29" s="698"/>
      <c r="D29" s="698"/>
      <c r="E29" s="698"/>
      <c r="F29" s="698"/>
      <c r="G29" s="698"/>
      <c r="H29" s="181"/>
      <c r="I29" s="181"/>
      <c r="J29" s="182"/>
      <c r="K29" s="181"/>
      <c r="L29" s="705" t="s">
        <v>272</v>
      </c>
      <c r="M29" s="705"/>
      <c r="N29" s="705"/>
      <c r="O29" s="705"/>
      <c r="P29" s="705"/>
      <c r="Q29" s="705"/>
      <c r="R29" s="705"/>
      <c r="S29" s="705"/>
      <c r="T29" s="705"/>
    </row>
    <row r="30" spans="1:20" ht="15" customHeight="1">
      <c r="A30" s="180"/>
      <c r="B30" s="711" t="s">
        <v>35</v>
      </c>
      <c r="C30" s="711"/>
      <c r="D30" s="711"/>
      <c r="E30" s="711"/>
      <c r="F30" s="711"/>
      <c r="G30" s="711"/>
      <c r="H30" s="183"/>
      <c r="I30" s="183"/>
      <c r="J30" s="183"/>
      <c r="K30" s="183"/>
      <c r="L30" s="714" t="s">
        <v>228</v>
      </c>
      <c r="M30" s="714"/>
      <c r="N30" s="714"/>
      <c r="O30" s="714"/>
      <c r="P30" s="714"/>
      <c r="Q30" s="714"/>
      <c r="R30" s="714"/>
      <c r="S30" s="714"/>
      <c r="T30" s="714"/>
    </row>
    <row r="31" spans="1:20" s="320" customFormat="1" ht="18.75">
      <c r="A31" s="318"/>
      <c r="B31" s="708"/>
      <c r="C31" s="708"/>
      <c r="D31" s="708"/>
      <c r="E31" s="708"/>
      <c r="F31" s="708"/>
      <c r="G31" s="319"/>
      <c r="H31" s="319"/>
      <c r="I31" s="319"/>
      <c r="J31" s="319"/>
      <c r="K31" s="319"/>
      <c r="L31" s="709"/>
      <c r="M31" s="709"/>
      <c r="N31" s="709"/>
      <c r="O31" s="709"/>
      <c r="P31" s="709"/>
      <c r="Q31" s="709"/>
      <c r="R31" s="709"/>
      <c r="S31" s="709"/>
      <c r="T31" s="709"/>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30" t="s">
        <v>276</v>
      </c>
      <c r="C33" s="830"/>
      <c r="D33" s="830"/>
      <c r="E33" s="830"/>
      <c r="F33" s="830"/>
      <c r="G33" s="321"/>
      <c r="H33" s="321"/>
      <c r="I33" s="321"/>
      <c r="J33" s="321"/>
      <c r="K33" s="321"/>
      <c r="L33" s="321"/>
      <c r="M33" s="321"/>
      <c r="N33" s="321"/>
      <c r="O33" s="830" t="s">
        <v>276</v>
      </c>
      <c r="P33" s="830"/>
      <c r="Q33" s="830"/>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81" t="s">
        <v>229</v>
      </c>
      <c r="C39" s="581"/>
      <c r="D39" s="581"/>
      <c r="E39" s="581"/>
      <c r="F39" s="581"/>
      <c r="G39" s="581"/>
      <c r="H39" s="182"/>
      <c r="I39" s="182"/>
      <c r="J39" s="182"/>
      <c r="K39" s="182"/>
      <c r="L39" s="582" t="s">
        <v>230</v>
      </c>
      <c r="M39" s="582"/>
      <c r="N39" s="582"/>
      <c r="O39" s="582"/>
      <c r="P39" s="582"/>
      <c r="Q39" s="582"/>
      <c r="R39" s="582"/>
      <c r="S39" s="582"/>
      <c r="T39" s="582"/>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A4:D4"/>
    <mergeCell ref="F5:O5"/>
    <mergeCell ref="M7:T7"/>
    <mergeCell ref="M8:N8"/>
    <mergeCell ref="C7:C10"/>
    <mergeCell ref="O9:P9"/>
    <mergeCell ref="O33:Q33"/>
    <mergeCell ref="L29:T29"/>
    <mergeCell ref="L30:T30"/>
    <mergeCell ref="B33:F33"/>
    <mergeCell ref="A13:B13"/>
    <mergeCell ref="A12:B12"/>
    <mergeCell ref="E9:E10"/>
    <mergeCell ref="A3:D3"/>
    <mergeCell ref="N9:N10"/>
    <mergeCell ref="F1:O4"/>
    <mergeCell ref="G8:L8"/>
    <mergeCell ref="A2:D2"/>
    <mergeCell ref="A1:D1"/>
    <mergeCell ref="A11:B11"/>
    <mergeCell ref="E7:L7"/>
    <mergeCell ref="C6:D6"/>
    <mergeCell ref="E6:T6"/>
    <mergeCell ref="E8:F8"/>
    <mergeCell ref="M9:M10"/>
    <mergeCell ref="F9:F10"/>
    <mergeCell ref="I9:J9"/>
    <mergeCell ref="S9:T9"/>
    <mergeCell ref="D7:D10"/>
    <mergeCell ref="K9:L9"/>
    <mergeCell ref="Q9:R9"/>
    <mergeCell ref="B30:G30"/>
    <mergeCell ref="L39:T39"/>
    <mergeCell ref="B29:G29"/>
    <mergeCell ref="A6:B10"/>
    <mergeCell ref="B39:G39"/>
    <mergeCell ref="L31:T31"/>
    <mergeCell ref="O8:T8"/>
    <mergeCell ref="B31:F31"/>
    <mergeCell ref="A14:B14"/>
    <mergeCell ref="G9:H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cp:lastModifiedBy>
  <cp:lastPrinted>2017-11-07T22:04:02Z</cp:lastPrinted>
  <dcterms:created xsi:type="dcterms:W3CDTF">2004-03-07T02:36:29Z</dcterms:created>
  <dcterms:modified xsi:type="dcterms:W3CDTF">2018-03-09T08:33:47Z</dcterms:modified>
  <cp:category/>
  <cp:version/>
  <cp:contentType/>
  <cp:contentStatus/>
</cp:coreProperties>
</file>